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1580" windowHeight="8580" activeTab="3"/>
  </bookViews>
  <sheets>
    <sheet name="Deckblatt" sheetId="1" r:id="rId1"/>
    <sheet name="G&amp;V" sheetId="2" r:id="rId2"/>
    <sheet name="Bilanz" sheetId="3" r:id="rId3"/>
    <sheet name="G&amp;VErl" sheetId="4" r:id="rId4"/>
  </sheets>
  <definedNames>
    <definedName name="_xlnm.Print_Titles" localSheetId="1">'G&amp;V'!$1:$3</definedName>
    <definedName name="_xlnm.Print_Titles" localSheetId="3">'G&amp;VErl'!$1:$1</definedName>
  </definedNames>
  <calcPr fullCalcOnLoad="1"/>
</workbook>
</file>

<file path=xl/comments4.xml><?xml version="1.0" encoding="utf-8"?>
<comments xmlns="http://schemas.openxmlformats.org/spreadsheetml/2006/main">
  <authors>
    <author>Eichinger Hubertus</author>
  </authors>
  <commentList>
    <comment ref="H3" authorId="0">
      <text>
        <r>
          <rPr>
            <b/>
            <sz val="9"/>
            <rFont val="Segoe UI"/>
            <family val="2"/>
          </rPr>
          <t>Eichinger Hubertus:</t>
        </r>
        <r>
          <rPr>
            <sz val="9"/>
            <rFont val="Segoe UI"/>
            <family val="2"/>
          </rPr>
          <t xml:space="preserve">
ohne flohmarkt, grundstückverkf</t>
        </r>
      </text>
    </comment>
    <comment ref="A97" authorId="0">
      <text>
        <r>
          <rPr>
            <b/>
            <sz val="9"/>
            <rFont val="Segoe UI"/>
            <family val="2"/>
          </rPr>
          <t>Eichinger Hubertus:</t>
        </r>
        <r>
          <rPr>
            <sz val="9"/>
            <rFont val="Segoe UI"/>
            <family val="2"/>
          </rPr>
          <t xml:space="preserve">
2017 und 2018 inkl. SW für Reisebussystem und 2017 inkl. P&amp;Ride
</t>
        </r>
      </text>
    </comment>
    <comment ref="H28" authorId="0">
      <text>
        <r>
          <rPr>
            <b/>
            <sz val="9"/>
            <rFont val="Segoe UI"/>
            <family val="2"/>
          </rPr>
          <t>Eichinger Hubertus:</t>
        </r>
        <r>
          <rPr>
            <sz val="9"/>
            <rFont val="Segoe UI"/>
            <family val="2"/>
          </rPr>
          <t xml:space="preserve">
50000 dazu von sponsoring</t>
        </r>
      </text>
    </comment>
    <comment ref="H48" authorId="0">
      <text>
        <r>
          <rPr>
            <b/>
            <sz val="9"/>
            <rFont val="Segoe UI"/>
            <family val="2"/>
          </rPr>
          <t>Eichinger Hubertus:</t>
        </r>
        <r>
          <rPr>
            <sz val="9"/>
            <rFont val="Segoe UI"/>
            <family val="2"/>
          </rPr>
          <t xml:space="preserve">
130000 dazu von kampagnen
</t>
        </r>
      </text>
    </comment>
    <comment ref="H49" authorId="0">
      <text>
        <r>
          <rPr>
            <b/>
            <sz val="9"/>
            <rFont val="Segoe UI"/>
            <family val="2"/>
          </rPr>
          <t>Eichinger Hubertus:</t>
        </r>
        <r>
          <rPr>
            <sz val="9"/>
            <rFont val="Segoe UI"/>
            <family val="2"/>
          </rPr>
          <t xml:space="preserve">
130000 dazu von kampagnen</t>
        </r>
      </text>
    </comment>
    <comment ref="H83" authorId="0">
      <text>
        <r>
          <rPr>
            <b/>
            <sz val="9"/>
            <rFont val="Segoe UI"/>
            <family val="2"/>
          </rPr>
          <t>Eichinger Hubertus:</t>
        </r>
        <r>
          <rPr>
            <sz val="9"/>
            <rFont val="Segoe UI"/>
            <family val="2"/>
          </rPr>
          <t xml:space="preserve">
150000 dazu von asien 2018
</t>
        </r>
      </text>
    </comment>
    <comment ref="H86" authorId="0">
      <text>
        <r>
          <rPr>
            <b/>
            <sz val="9"/>
            <rFont val="Segoe UI"/>
            <family val="2"/>
          </rPr>
          <t>Eichinger Hubertus:</t>
        </r>
        <r>
          <rPr>
            <sz val="9"/>
            <rFont val="Segoe UI"/>
            <family val="2"/>
          </rPr>
          <t xml:space="preserve">
84536,27 dazu von asien 2018</t>
        </r>
      </text>
    </comment>
    <comment ref="H106" authorId="0">
      <text>
        <r>
          <rPr>
            <b/>
            <sz val="9"/>
            <rFont val="Segoe UI"/>
            <family val="2"/>
          </rPr>
          <t>Eichinger Hubertus:</t>
        </r>
        <r>
          <rPr>
            <sz val="9"/>
            <rFont val="Segoe UI"/>
            <family val="2"/>
          </rPr>
          <t xml:space="preserve">
100.000 von marketing
</t>
        </r>
      </text>
    </comment>
    <comment ref="H107" authorId="0">
      <text>
        <r>
          <rPr>
            <b/>
            <sz val="9"/>
            <rFont val="Segoe UI"/>
            <family val="2"/>
          </rPr>
          <t>Eichinger Hubertus:</t>
        </r>
        <r>
          <rPr>
            <sz val="9"/>
            <rFont val="Segoe UI"/>
            <family val="2"/>
          </rPr>
          <t xml:space="preserve">
50.000 von marketing
</t>
        </r>
      </text>
    </comment>
    <comment ref="H100" authorId="0">
      <text>
        <r>
          <rPr>
            <b/>
            <sz val="9"/>
            <rFont val="Segoe UI"/>
            <family val="2"/>
          </rPr>
          <t>Eichinger Hubertus:</t>
        </r>
        <r>
          <rPr>
            <sz val="9"/>
            <rFont val="Segoe UI"/>
            <family val="2"/>
          </rPr>
          <t xml:space="preserve">
64902,84 von marketing
</t>
        </r>
      </text>
    </comment>
  </commentList>
</comments>
</file>

<file path=xl/sharedStrings.xml><?xml version="1.0" encoding="utf-8"?>
<sst xmlns="http://schemas.openxmlformats.org/spreadsheetml/2006/main" count="252" uniqueCount="222">
  <si>
    <t>Position</t>
  </si>
  <si>
    <t>Handelswaren</t>
  </si>
  <si>
    <t>Zimmervermittlung</t>
  </si>
  <si>
    <t>Insertionen</t>
  </si>
  <si>
    <t>Vermietungen</t>
  </si>
  <si>
    <t>Pacht Sheraton</t>
  </si>
  <si>
    <t>Betriebsleistung</t>
  </si>
  <si>
    <t>Druckkosten Information</t>
  </si>
  <si>
    <t>Druckkosten Geschäftsausstattung</t>
  </si>
  <si>
    <t>Druckkostenbeiträge</t>
  </si>
  <si>
    <t>Wärme</t>
  </si>
  <si>
    <t>Wasser</t>
  </si>
  <si>
    <t>Strom</t>
  </si>
  <si>
    <t>Satz und Litho</t>
  </si>
  <si>
    <t>Übersetzungen</t>
  </si>
  <si>
    <t>Auslagendekoration</t>
  </si>
  <si>
    <t>Pressedienst / Öffentlichkeitsarbeit</t>
  </si>
  <si>
    <t>Photo, Film, Dia</t>
  </si>
  <si>
    <t>Schulung</t>
  </si>
  <si>
    <t>Abschreibungen</t>
  </si>
  <si>
    <t>Transporte</t>
  </si>
  <si>
    <t>Porto</t>
  </si>
  <si>
    <t>Reisegebühren</t>
  </si>
  <si>
    <t>Bauernherbst</t>
  </si>
  <si>
    <t>Skishuttle</t>
  </si>
  <si>
    <t>Marktforschung</t>
  </si>
  <si>
    <t>Auftrittsmöglichkeit für Chöre</t>
  </si>
  <si>
    <t>werbeähnlicher Aufwand</t>
  </si>
  <si>
    <t>Betriebsgemeinschaft</t>
  </si>
  <si>
    <t>Mitgliedschaften</t>
  </si>
  <si>
    <t>Journalistenbetreuung</t>
  </si>
  <si>
    <t>Abos</t>
  </si>
  <si>
    <t>Werbemittel</t>
  </si>
  <si>
    <t>sonstige Zinsen und ähnliche Erträge</t>
  </si>
  <si>
    <t>Zinsen und ähnliche Aufwendungen</t>
  </si>
  <si>
    <t>Löhne</t>
  </si>
  <si>
    <t>Gehälter</t>
  </si>
  <si>
    <t>Miete Geschäfte</t>
  </si>
  <si>
    <t>Fachveranstaltungen / Messen</t>
  </si>
  <si>
    <t>New Media Marketing / Internet</t>
  </si>
  <si>
    <t>Cash flow</t>
  </si>
  <si>
    <t>Kongressdienstausgaben</t>
  </si>
  <si>
    <t>CONGRESS</t>
  </si>
  <si>
    <t>ZENTRALE DIENSTE</t>
  </si>
  <si>
    <t>Umsatzerlöse</t>
  </si>
  <si>
    <t>Summe Umsatzerlöse</t>
  </si>
  <si>
    <t>Summe Sonstige Erträge</t>
  </si>
  <si>
    <t>Materialaufwand</t>
  </si>
  <si>
    <t>Chipkarten Salzburg Card</t>
  </si>
  <si>
    <t>Druckwerke</t>
  </si>
  <si>
    <t>Summe Materialaufwand</t>
  </si>
  <si>
    <t>Agentuspesen</t>
  </si>
  <si>
    <t>Gewinnspiele und Preise</t>
  </si>
  <si>
    <t>Personalaufwand</t>
  </si>
  <si>
    <t>Sonstige Sozialaufwendungen</t>
  </si>
  <si>
    <t>Sume Personalaufwand</t>
  </si>
  <si>
    <t>auf immaterielle Gegenstände des Anlage-</t>
  </si>
  <si>
    <t>vermögens und Sachanlagen</t>
  </si>
  <si>
    <t>Summe Abschreibungen</t>
  </si>
  <si>
    <t>sonstige Steuern</t>
  </si>
  <si>
    <t>Summe sonstige Steuern</t>
  </si>
  <si>
    <t>übrige</t>
  </si>
  <si>
    <t>Personalgestellung durch Dritte (Bewachung, Saalarbeiter udgl.)</t>
  </si>
  <si>
    <t>TOURISMUS   BÜRO</t>
  </si>
  <si>
    <t>Telefon</t>
  </si>
  <si>
    <t>ARGE Italien</t>
  </si>
  <si>
    <t>Repräsentation / Verkaufsreisen / Studiengruppen</t>
  </si>
  <si>
    <t>Honorare (Künstler, Fremdenführer udgl.)</t>
  </si>
  <si>
    <t>Reserve bzw. Unvorhergesehenes</t>
  </si>
  <si>
    <t>Miete / Pacht</t>
  </si>
  <si>
    <t>Versicherung</t>
  </si>
  <si>
    <t>Sonstiger Aufwand</t>
  </si>
  <si>
    <t>Summe übrige Aufwendungen</t>
  </si>
  <si>
    <t>sonstige Zinsen und ähnliche Ertäge</t>
  </si>
  <si>
    <t>Finanzerfolg</t>
  </si>
  <si>
    <t>Steuern von Einkommen und Ertrag</t>
  </si>
  <si>
    <t>Körperschaftsteuer</t>
  </si>
  <si>
    <t>Kapitalertragsteuer</t>
  </si>
  <si>
    <t>Aufwendungen für Material und sonstige bezogene Leistungen</t>
  </si>
  <si>
    <t>Aufwand für bezogene Leistungen</t>
  </si>
  <si>
    <t>Aufwendungen für gesetzlich vorgeschriebene Sozialabgaben</t>
  </si>
  <si>
    <t>sowie vom Entgelt abhängige Abgaben und Pflichtbeiträge</t>
  </si>
  <si>
    <t>Sonstige betriebliche Erträge</t>
  </si>
  <si>
    <t>Summe Aufwand für bezogene Leistungen</t>
  </si>
  <si>
    <t>sonstige betriebliche Aufwendungen</t>
  </si>
  <si>
    <t>TSG TOURISMUS SALZBURG GMBH</t>
  </si>
  <si>
    <t>1.</t>
  </si>
  <si>
    <t>2.</t>
  </si>
  <si>
    <t>sonstige betriebliche Erträge</t>
  </si>
  <si>
    <t>a. übrige</t>
  </si>
  <si>
    <t>3.</t>
  </si>
  <si>
    <t xml:space="preserve">B e t r i e b s l e i s t u n g </t>
  </si>
  <si>
    <t>4.</t>
  </si>
  <si>
    <t>a. Materialaufwand</t>
  </si>
  <si>
    <t>b. Aufwendungen für bezogene Leistungen</t>
  </si>
  <si>
    <t>5.</t>
  </si>
  <si>
    <t>a. Löhne</t>
  </si>
  <si>
    <t>b. Gehälter</t>
  </si>
  <si>
    <t>c. Dotierung Rückstellung Abfertigung</t>
  </si>
  <si>
    <t>d. Aufwendungen für gesetzlich vorgeschriebene</t>
  </si>
  <si>
    <t xml:space="preserve">   Sozialabgaben sowie vom Entgelt abhängige</t>
  </si>
  <si>
    <t xml:space="preserve">   Abgaben und Pflichtbeiträge</t>
  </si>
  <si>
    <t>e. sonstige Sozialaufwendungen</t>
  </si>
  <si>
    <t>6.</t>
  </si>
  <si>
    <t>a. auf immaterielle Gegenstände des Anlage-</t>
  </si>
  <si>
    <t xml:space="preserve">   Vermögens und Sachanlagen</t>
  </si>
  <si>
    <t>aa. Planmäßige Abschreibungen</t>
  </si>
  <si>
    <t>7.</t>
  </si>
  <si>
    <t>a. sonstige Steuern</t>
  </si>
  <si>
    <t>b. übrige</t>
  </si>
  <si>
    <t>8.</t>
  </si>
  <si>
    <t>Zwischensumme aus Z 1 bis 7                               (B e t r i e b s e r g e b n i s)</t>
  </si>
  <si>
    <t xml:space="preserve">9. </t>
  </si>
  <si>
    <t>10.</t>
  </si>
  <si>
    <t>11.</t>
  </si>
  <si>
    <t>Zwischensumme aus Z 9 bis 10                             (F i n a n z e r f o l g)</t>
  </si>
  <si>
    <t>12.</t>
  </si>
  <si>
    <t>13.</t>
  </si>
  <si>
    <t>14.</t>
  </si>
  <si>
    <t>15.</t>
  </si>
  <si>
    <t>Auflösung Kapitalrücklage - Sachaufwand und Personalaufwand TSG</t>
  </si>
  <si>
    <t>Auflösung Kapitalrücklage - Personalaufwand VB</t>
  </si>
  <si>
    <t>Auflösung Kapitalrücklage - Investitionen</t>
  </si>
  <si>
    <t>16.</t>
  </si>
  <si>
    <t>Gewinnvortrag</t>
  </si>
  <si>
    <t>17.</t>
  </si>
  <si>
    <t>Bilanzgewinn</t>
  </si>
  <si>
    <t>AKTIVA</t>
  </si>
  <si>
    <t>PASSIVA</t>
  </si>
  <si>
    <t>A.</t>
  </si>
  <si>
    <t>ANLAGEVERMÖGEN</t>
  </si>
  <si>
    <t>EIGENKAPITAL</t>
  </si>
  <si>
    <t>I.</t>
  </si>
  <si>
    <t>Immaterielle Vermögensgegenstände</t>
  </si>
  <si>
    <t>II.</t>
  </si>
  <si>
    <t>Kapitalrücklagen</t>
  </si>
  <si>
    <t>Aktivierte Rechte/Datenverarbeitungsprogramme</t>
  </si>
  <si>
    <t>Sachanlagen</t>
  </si>
  <si>
    <t>Grundstücke und Bauten auf fremden Boden</t>
  </si>
  <si>
    <t>B.</t>
  </si>
  <si>
    <t>Maschinen und maschinelle Anlagen</t>
  </si>
  <si>
    <t>andere Anlagen, Betriebs- und Geschäftsausstattung</t>
  </si>
  <si>
    <t>Summe Anlagevermögen</t>
  </si>
  <si>
    <t>RÜCKSTELLUNGEN</t>
  </si>
  <si>
    <t>Rückstellung Abfertigungen</t>
  </si>
  <si>
    <t>UMLAUFVERMÖGEN</t>
  </si>
  <si>
    <t>Sonstige Rückstellungen</t>
  </si>
  <si>
    <t>VERBINDLICHKEITEN</t>
  </si>
  <si>
    <t>Forderungen und sonstige Vermögensgegenstände</t>
  </si>
  <si>
    <t>erhaltene Anzahlungen</t>
  </si>
  <si>
    <t>Forderungen aus Lieferungen und Leistungen</t>
  </si>
  <si>
    <t>Verbindlichkeiten aus Lieferungen und Leistungen</t>
  </si>
  <si>
    <t>sonstige Forderungen und Vermögensgegenstände</t>
  </si>
  <si>
    <t>sonstige Verbindlichkeiten</t>
  </si>
  <si>
    <t>Kassenbestand</t>
  </si>
  <si>
    <t>Kassastand</t>
  </si>
  <si>
    <t>Guthaben bei Kreditinstitutionen</t>
  </si>
  <si>
    <t>SUMME AKTIVA</t>
  </si>
  <si>
    <t>SUMME PASSIVA</t>
  </si>
  <si>
    <t>KURHAUS</t>
  </si>
  <si>
    <t>Summe Steuern</t>
  </si>
  <si>
    <t>Auflösung Rücklage</t>
  </si>
  <si>
    <t xml:space="preserve">Personalaufwand </t>
  </si>
  <si>
    <t xml:space="preserve">Personalgestellung Magistrat (Altersbeihilfe) </t>
  </si>
  <si>
    <t xml:space="preserve">Leistungserlöse Sauna/Solarium </t>
  </si>
  <si>
    <t xml:space="preserve">Leistungserlöse Kur </t>
  </si>
  <si>
    <t>Medienwerbung/Insertion Fachmedien incl. Nebenkosten</t>
  </si>
  <si>
    <t>Kooperationen TV, Print, TO; Veranstaltungen</t>
  </si>
  <si>
    <t>Multiplikatorunterstützung / Produktmanagement Card</t>
  </si>
  <si>
    <t>Eigenpräsentation / Workshops / Innenmarketing</t>
  </si>
  <si>
    <t>zuzüglich Abschreibungen (ohne GWG)</t>
  </si>
  <si>
    <t>Personalgestellung Magistrat (VB) inkl. Abfertigungen</t>
  </si>
  <si>
    <t>Rechts- / Prüfungs- und Beratungskosten u. Pers.Verr. Magistrat</t>
  </si>
  <si>
    <t xml:space="preserve">F I N A N Z B E D A R F   Gesellschafterzuschuss </t>
  </si>
  <si>
    <t xml:space="preserve">Leistungserlöse Congress </t>
  </si>
  <si>
    <t>Reisebus-/Schlechtwetterregelung</t>
  </si>
  <si>
    <t xml:space="preserve">Salzburg Card </t>
  </si>
  <si>
    <t xml:space="preserve">Entnahme Rücklage </t>
  </si>
  <si>
    <t>Altstadtsilvester</t>
  </si>
  <si>
    <t>Dotierung Rückstellung Abfertigung und MVK</t>
  </si>
  <si>
    <t>Salzburg Card + PLUS Leistungsträger</t>
  </si>
  <si>
    <t>Kongressförderung (inkl. SCB)</t>
  </si>
  <si>
    <t>Investitionen (siehe unten)</t>
  </si>
  <si>
    <t xml:space="preserve">Investitionen (siehe unten) </t>
  </si>
  <si>
    <t>Info Mozartplatz barrierefreier Zugang</t>
  </si>
  <si>
    <t>Sonstige</t>
  </si>
  <si>
    <t xml:space="preserve">Summe Umlaufvermögen </t>
  </si>
  <si>
    <t>Summe Eigenkapital</t>
  </si>
  <si>
    <t>Summe Rückstelllungen</t>
  </si>
  <si>
    <t>Summe Verbindlichkeiten</t>
  </si>
  <si>
    <t>Zwischensumme aus Z 8 und Z 11                        (E r g e b n i s   v o r   S t e u e r n)</t>
  </si>
  <si>
    <t>Ergebnis nach Steuern</t>
  </si>
  <si>
    <t>E r g e b n i s   n a c h   S t e u e r n</t>
  </si>
  <si>
    <t>Ergebnis vor Steuern</t>
  </si>
  <si>
    <t xml:space="preserve">eingefordertes und eingezahltes Stammkapital </t>
  </si>
  <si>
    <t>C.</t>
  </si>
  <si>
    <t>RECHNUNGSABGRENZUNGSPOSTEN</t>
  </si>
  <si>
    <t>c.</t>
  </si>
  <si>
    <t>J A H R E S B E R I C H T   2 0 2 0</t>
  </si>
  <si>
    <t>vom 1.1. bis 31.12.2020</t>
  </si>
  <si>
    <t>PLAN 2019</t>
  </si>
  <si>
    <t>IST 2018</t>
  </si>
  <si>
    <t>Verändg. 19/20</t>
  </si>
  <si>
    <t>J A H R E S B E R I C H T   2 0 2 0  -  Plan-Gewinn- und Verlustrechnung</t>
  </si>
  <si>
    <t>Instandhaltung inkl. Kanalgebühren u. Treibstoff</t>
  </si>
  <si>
    <t>Kooparationen, Kostenersätze, Förderungen, Weiterverrechnungen (Bus)</t>
  </si>
  <si>
    <t>III.</t>
  </si>
  <si>
    <t>Finanzanbalgen</t>
  </si>
  <si>
    <t>Wertrechte des Anlagevermögens</t>
  </si>
  <si>
    <t>D.</t>
  </si>
  <si>
    <t>AKTIVE LATENTE STEUERN</t>
  </si>
  <si>
    <t>Kurmittel, Sole, Chemie, Betriebsmittel Sauna</t>
  </si>
  <si>
    <t>Werbung/Marketing PcB</t>
  </si>
  <si>
    <t>Leistungserlöse Hallenbad (inkl. Schüler)</t>
  </si>
  <si>
    <t>Nebenerlöse (Garage, Gastro, Verleih)</t>
  </si>
  <si>
    <t>100 Jahre Festspiele</t>
  </si>
  <si>
    <t>Besucherlenkung</t>
  </si>
  <si>
    <t>J A H R E S B E R I C H T   2 0 2 0  -  Planbilanz zum 31. Dezember 2020</t>
  </si>
  <si>
    <t>Bus-Onlinesystem</t>
  </si>
  <si>
    <t xml:space="preserve">Plan Gewinn- und Verlustrechnung 2020 </t>
  </si>
  <si>
    <t>Planbilanz 31.12.2020</t>
  </si>
  <si>
    <t xml:space="preserve">Finanzbedarf 2020 </t>
  </si>
</sst>
</file>

<file path=xl/styles.xml><?xml version="1.0" encoding="utf-8"?>
<styleSheet xmlns="http://schemas.openxmlformats.org/spreadsheetml/2006/main">
  <numFmts count="4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#,##0.000"/>
    <numFmt numFmtId="179" formatCode="#,##0.0000"/>
    <numFmt numFmtId="180" formatCode="#,##0.0"/>
    <numFmt numFmtId="181" formatCode="0.0%"/>
    <numFmt numFmtId="182" formatCode="_-* #,##0.000_-;\-* #,##0.000_-;_-* &quot;-&quot;??_-;_-@_-"/>
    <numFmt numFmtId="183" formatCode="_-* #,##0.0000_-;\-* #,##0.0000_-;_-* &quot;-&quot;??_-;_-@_-"/>
    <numFmt numFmtId="184" formatCode="_-* #,##0.0_-;\-* #,##0.0_-;_-* &quot;-&quot;??_-;_-@_-"/>
    <numFmt numFmtId="185" formatCode="_-* #,##0_-;\-* #,##0_-;_-* &quot;-&quot;??_-;_-@_-"/>
    <numFmt numFmtId="186" formatCode="0.0000"/>
    <numFmt numFmtId="187" formatCode="0.000"/>
    <numFmt numFmtId="188" formatCode="#,##0.00_ ;\-#,##0.00\ "/>
    <numFmt numFmtId="189" formatCode="#,##0.0_ ;\-#,##0.0\ "/>
    <numFmt numFmtId="190" formatCode="#,##0_ ;\-#,##0\ "/>
    <numFmt numFmtId="191" formatCode="#,##0_ ;[Red]\-#,##0\ "/>
    <numFmt numFmtId="192" formatCode="&quot;Ja&quot;;&quot;Ja&quot;;&quot;Nein&quot;"/>
    <numFmt numFmtId="193" formatCode="&quot;Wahr&quot;;&quot;Wahr&quot;;&quot;Falsch&quot;"/>
    <numFmt numFmtId="194" formatCode="&quot;Ein&quot;;&quot;Ein&quot;;&quot;Aus&quot;"/>
    <numFmt numFmtId="195" formatCode="[$€-2]\ #,##0.00_);[Red]\([$€-2]\ #,##0.00\)"/>
    <numFmt numFmtId="196" formatCode="0.0"/>
  </numFmts>
  <fonts count="65">
    <font>
      <sz val="10"/>
      <name val="Arial"/>
      <family val="0"/>
    </font>
    <font>
      <sz val="8"/>
      <name val="Arial"/>
      <family val="2"/>
    </font>
    <font>
      <b/>
      <sz val="10"/>
      <name val="Garamond"/>
      <family val="1"/>
    </font>
    <font>
      <sz val="10"/>
      <name val="Garamond"/>
      <family val="1"/>
    </font>
    <font>
      <sz val="9"/>
      <name val="Garamond"/>
      <family val="1"/>
    </font>
    <font>
      <b/>
      <sz val="9"/>
      <name val="Garamond"/>
      <family val="1"/>
    </font>
    <font>
      <b/>
      <sz val="14"/>
      <name val="Garamond"/>
      <family val="1"/>
    </font>
    <font>
      <b/>
      <sz val="16"/>
      <name val="Garamond"/>
      <family val="1"/>
    </font>
    <font>
      <sz val="9"/>
      <color indexed="10"/>
      <name val="Garamond"/>
      <family val="1"/>
    </font>
    <font>
      <b/>
      <sz val="20"/>
      <name val="Garamond"/>
      <family val="1"/>
    </font>
    <font>
      <b/>
      <sz val="26"/>
      <name val="Garamond"/>
      <family val="1"/>
    </font>
    <font>
      <sz val="11"/>
      <name val="Garamond"/>
      <family val="1"/>
    </font>
    <font>
      <b/>
      <sz val="12"/>
      <name val="Garamond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Garamond"/>
      <family val="1"/>
    </font>
    <font>
      <sz val="9"/>
      <name val="Segoe UI"/>
      <family val="2"/>
    </font>
    <font>
      <b/>
      <sz val="9"/>
      <name val="Segoe U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2"/>
      <color indexed="10"/>
      <name val="Garamond"/>
      <family val="1"/>
    </font>
    <font>
      <b/>
      <sz val="12"/>
      <color indexed="17"/>
      <name val="Garamond"/>
      <family val="1"/>
    </font>
    <font>
      <sz val="10"/>
      <color indexed="8"/>
      <name val="Garamond"/>
      <family val="1"/>
    </font>
    <font>
      <b/>
      <sz val="18"/>
      <color indexed="10"/>
      <name val="Garamond"/>
      <family val="1"/>
    </font>
    <font>
      <sz val="10"/>
      <color indexed="17"/>
      <name val="Garamond"/>
      <family val="1"/>
    </font>
    <font>
      <sz val="10"/>
      <color indexed="10"/>
      <name val="Garamond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2"/>
      <color rgb="FFFF0000"/>
      <name val="Garamond"/>
      <family val="1"/>
    </font>
    <font>
      <b/>
      <sz val="12"/>
      <color rgb="FF00B050"/>
      <name val="Garamond"/>
      <family val="1"/>
    </font>
    <font>
      <sz val="10"/>
      <color theme="1"/>
      <name val="Garamond"/>
      <family val="1"/>
    </font>
    <font>
      <b/>
      <sz val="18"/>
      <color rgb="FFFF0000"/>
      <name val="Garamond"/>
      <family val="1"/>
    </font>
    <font>
      <sz val="10"/>
      <color rgb="FF00B050"/>
      <name val="Garamond"/>
      <family val="1"/>
    </font>
    <font>
      <sz val="10"/>
      <color rgb="FFFF0000"/>
      <name val="Garamond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0" fontId="1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197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4" fontId="3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33" borderId="15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 wrapText="1"/>
    </xf>
    <xf numFmtId="0" fontId="3" fillId="0" borderId="15" xfId="0" applyFont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4" fillId="0" borderId="0" xfId="0" applyFont="1" applyBorder="1" applyAlignment="1">
      <alignment/>
    </xf>
    <xf numFmtId="3" fontId="3" fillId="0" borderId="13" xfId="0" applyNumberFormat="1" applyFont="1" applyBorder="1" applyAlignment="1">
      <alignment vertical="center"/>
    </xf>
    <xf numFmtId="3" fontId="3" fillId="0" borderId="18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3" fontId="2" fillId="33" borderId="15" xfId="0" applyNumberFormat="1" applyFont="1" applyFill="1" applyBorder="1" applyAlignment="1">
      <alignment vertical="center"/>
    </xf>
    <xf numFmtId="3" fontId="2" fillId="33" borderId="19" xfId="0" applyNumberFormat="1" applyFont="1" applyFill="1" applyBorder="1" applyAlignment="1">
      <alignment vertical="center"/>
    </xf>
    <xf numFmtId="3" fontId="3" fillId="0" borderId="20" xfId="0" applyNumberFormat="1" applyFont="1" applyBorder="1" applyAlignment="1">
      <alignment vertical="center"/>
    </xf>
    <xf numFmtId="3" fontId="3" fillId="0" borderId="21" xfId="0" applyNumberFormat="1" applyFont="1" applyBorder="1" applyAlignment="1">
      <alignment vertical="center"/>
    </xf>
    <xf numFmtId="3" fontId="2" fillId="33" borderId="16" xfId="0" applyNumberFormat="1" applyFont="1" applyFill="1" applyBorder="1" applyAlignment="1">
      <alignment vertical="center"/>
    </xf>
    <xf numFmtId="3" fontId="2" fillId="33" borderId="21" xfId="0" applyNumberFormat="1" applyFont="1" applyFill="1" applyBorder="1" applyAlignment="1">
      <alignment vertical="center"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14" fontId="2" fillId="33" borderId="12" xfId="0" applyNumberFormat="1" applyFont="1" applyFill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vertical="center" wrapText="1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15" xfId="0" applyFont="1" applyBorder="1" applyAlignment="1">
      <alignment horizontal="center"/>
    </xf>
    <xf numFmtId="4" fontId="2" fillId="0" borderId="15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vertical="center" wrapText="1"/>
    </xf>
    <xf numFmtId="0" fontId="3" fillId="0" borderId="15" xfId="0" applyFont="1" applyBorder="1" applyAlignment="1">
      <alignment/>
    </xf>
    <xf numFmtId="4" fontId="3" fillId="0" borderId="0" xfId="0" applyNumberFormat="1" applyFont="1" applyBorder="1" applyAlignment="1" quotePrefix="1">
      <alignment vertical="center" wrapText="1"/>
    </xf>
    <xf numFmtId="0" fontId="3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 wrapText="1"/>
    </xf>
    <xf numFmtId="4" fontId="3" fillId="0" borderId="16" xfId="0" applyNumberFormat="1" applyFont="1" applyBorder="1" applyAlignment="1">
      <alignment horizontal="center" vertical="center"/>
    </xf>
    <xf numFmtId="4" fontId="3" fillId="0" borderId="17" xfId="0" applyNumberFormat="1" applyFont="1" applyBorder="1" applyAlignment="1">
      <alignment vertical="center" wrapText="1"/>
    </xf>
    <xf numFmtId="0" fontId="3" fillId="33" borderId="16" xfId="0" applyFont="1" applyFill="1" applyBorder="1" applyAlignment="1">
      <alignment horizontal="center" vertical="center"/>
    </xf>
    <xf numFmtId="4" fontId="3" fillId="33" borderId="16" xfId="0" applyNumberFormat="1" applyFont="1" applyFill="1" applyBorder="1" applyAlignment="1">
      <alignment horizontal="center" vertical="center"/>
    </xf>
    <xf numFmtId="4" fontId="2" fillId="33" borderId="17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vertical="center"/>
    </xf>
    <xf numFmtId="4" fontId="8" fillId="0" borderId="0" xfId="0" applyNumberFormat="1" applyFont="1" applyBorder="1" applyAlignment="1">
      <alignment vertical="center" wrapText="1"/>
    </xf>
    <xf numFmtId="4" fontId="8" fillId="0" borderId="0" xfId="0" applyNumberFormat="1" applyFont="1" applyBorder="1" applyAlignment="1">
      <alignment vertical="center"/>
    </xf>
    <xf numFmtId="0" fontId="3" fillId="0" borderId="0" xfId="0" applyFont="1" applyBorder="1" applyAlignment="1" quotePrefix="1">
      <alignment vertical="center"/>
    </xf>
    <xf numFmtId="3" fontId="3" fillId="0" borderId="22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3" fontId="2" fillId="0" borderId="24" xfId="0" applyNumberFormat="1" applyFont="1" applyBorder="1" applyAlignment="1">
      <alignment vertical="center"/>
    </xf>
    <xf numFmtId="3" fontId="3" fillId="0" borderId="24" xfId="0" applyNumberFormat="1" applyFont="1" applyBorder="1" applyAlignment="1">
      <alignment vertical="center"/>
    </xf>
    <xf numFmtId="3" fontId="3" fillId="0" borderId="25" xfId="0" applyNumberFormat="1" applyFont="1" applyBorder="1" applyAlignment="1">
      <alignment vertical="center"/>
    </xf>
    <xf numFmtId="3" fontId="3" fillId="0" borderId="24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3" fontId="2" fillId="0" borderId="26" xfId="0" applyNumberFormat="1" applyFont="1" applyBorder="1" applyAlignment="1">
      <alignment vertical="center"/>
    </xf>
    <xf numFmtId="3" fontId="2" fillId="33" borderId="26" xfId="0" applyNumberFormat="1" applyFont="1" applyFill="1" applyBorder="1" applyAlignment="1">
      <alignment vertical="center"/>
    </xf>
    <xf numFmtId="3" fontId="3" fillId="0" borderId="24" xfId="0" applyNumberFormat="1" applyFont="1" applyBorder="1" applyAlignment="1" quotePrefix="1">
      <alignment horizontal="right" vertical="center"/>
    </xf>
    <xf numFmtId="3" fontId="3" fillId="0" borderId="15" xfId="0" applyNumberFormat="1" applyFont="1" applyBorder="1" applyAlignment="1">
      <alignment/>
    </xf>
    <xf numFmtId="3" fontId="3" fillId="0" borderId="26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5" fillId="0" borderId="2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5" fillId="0" borderId="28" xfId="0" applyFont="1" applyBorder="1" applyAlignment="1">
      <alignment vertical="center"/>
    </xf>
    <xf numFmtId="3" fontId="4" fillId="0" borderId="28" xfId="0" applyNumberFormat="1" applyFont="1" applyBorder="1" applyAlignment="1">
      <alignment vertical="center"/>
    </xf>
    <xf numFmtId="3" fontId="4" fillId="0" borderId="29" xfId="0" applyNumberFormat="1" applyFont="1" applyBorder="1" applyAlignment="1">
      <alignment vertical="center"/>
    </xf>
    <xf numFmtId="3" fontId="4" fillId="0" borderId="30" xfId="0" applyNumberFormat="1" applyFont="1" applyBorder="1" applyAlignment="1">
      <alignment vertical="center"/>
    </xf>
    <xf numFmtId="3" fontId="5" fillId="0" borderId="3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32" xfId="0" applyFont="1" applyBorder="1" applyAlignment="1">
      <alignment vertical="center"/>
    </xf>
    <xf numFmtId="3" fontId="4" fillId="0" borderId="32" xfId="0" applyNumberFormat="1" applyFont="1" applyBorder="1" applyAlignment="1">
      <alignment vertical="center"/>
    </xf>
    <xf numFmtId="3" fontId="4" fillId="0" borderId="33" xfId="0" applyNumberFormat="1" applyFont="1" applyBorder="1" applyAlignment="1">
      <alignment vertical="center"/>
    </xf>
    <xf numFmtId="3" fontId="4" fillId="0" borderId="34" xfId="0" applyNumberFormat="1" applyFont="1" applyBorder="1" applyAlignment="1">
      <alignment vertical="center"/>
    </xf>
    <xf numFmtId="3" fontId="4" fillId="0" borderId="35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36" xfId="0" applyFont="1" applyBorder="1" applyAlignment="1">
      <alignment vertical="center"/>
    </xf>
    <xf numFmtId="3" fontId="4" fillId="0" borderId="36" xfId="0" applyNumberFormat="1" applyFont="1" applyBorder="1" applyAlignment="1">
      <alignment vertical="center"/>
    </xf>
    <xf numFmtId="3" fontId="4" fillId="0" borderId="37" xfId="0" applyNumberFormat="1" applyFont="1" applyBorder="1" applyAlignment="1">
      <alignment vertical="center"/>
    </xf>
    <xf numFmtId="3" fontId="4" fillId="0" borderId="38" xfId="0" applyNumberFormat="1" applyFont="1" applyBorder="1" applyAlignment="1">
      <alignment vertical="center"/>
    </xf>
    <xf numFmtId="3" fontId="4" fillId="0" borderId="39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28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3" fontId="4" fillId="0" borderId="24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3" fontId="5" fillId="0" borderId="40" xfId="0" applyNumberFormat="1" applyFont="1" applyBorder="1" applyAlignment="1">
      <alignment vertical="center"/>
    </xf>
    <xf numFmtId="3" fontId="5" fillId="0" borderId="41" xfId="0" applyNumberFormat="1" applyFont="1" applyBorder="1" applyAlignment="1">
      <alignment vertical="center"/>
    </xf>
    <xf numFmtId="3" fontId="5" fillId="0" borderId="32" xfId="0" applyNumberFormat="1" applyFont="1" applyBorder="1" applyAlignment="1">
      <alignment vertical="center"/>
    </xf>
    <xf numFmtId="3" fontId="5" fillId="0" borderId="33" xfId="0" applyNumberFormat="1" applyFont="1" applyBorder="1" applyAlignment="1">
      <alignment vertical="center"/>
    </xf>
    <xf numFmtId="3" fontId="5" fillId="0" borderId="34" xfId="0" applyNumberFormat="1" applyFont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3" fontId="5" fillId="0" borderId="0" xfId="0" applyNumberFormat="1" applyFont="1" applyAlignment="1">
      <alignment vertical="center"/>
    </xf>
    <xf numFmtId="10" fontId="5" fillId="0" borderId="12" xfId="51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3" fontId="4" fillId="0" borderId="43" xfId="0" applyNumberFormat="1" applyFont="1" applyBorder="1" applyAlignment="1">
      <alignment vertical="center"/>
    </xf>
    <xf numFmtId="3" fontId="4" fillId="0" borderId="44" xfId="0" applyNumberFormat="1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3" fontId="4" fillId="0" borderId="34" xfId="0" applyNumberFormat="1" applyFont="1" applyFill="1" applyBorder="1" applyAlignment="1">
      <alignment vertical="center"/>
    </xf>
    <xf numFmtId="3" fontId="4" fillId="0" borderId="33" xfId="0" applyNumberFormat="1" applyFont="1" applyFill="1" applyBorder="1" applyAlignment="1">
      <alignment vertical="center"/>
    </xf>
    <xf numFmtId="3" fontId="5" fillId="0" borderId="35" xfId="0" applyNumberFormat="1" applyFont="1" applyFill="1" applyBorder="1" applyAlignment="1">
      <alignment vertical="center"/>
    </xf>
    <xf numFmtId="3" fontId="4" fillId="0" borderId="35" xfId="0" applyNumberFormat="1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0" fontId="5" fillId="0" borderId="42" xfId="0" applyFont="1" applyBorder="1" applyAlignment="1">
      <alignment vertical="center"/>
    </xf>
    <xf numFmtId="10" fontId="4" fillId="0" borderId="12" xfId="51" applyNumberFormat="1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10" fontId="4" fillId="0" borderId="33" xfId="51" applyNumberFormat="1" applyFont="1" applyBorder="1" applyAlignment="1">
      <alignment horizontal="center" vertical="center"/>
    </xf>
    <xf numFmtId="0" fontId="5" fillId="0" borderId="33" xfId="0" applyFont="1" applyBorder="1" applyAlignment="1">
      <alignment vertical="center"/>
    </xf>
    <xf numFmtId="10" fontId="4" fillId="0" borderId="37" xfId="51" applyNumberFormat="1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10" fontId="4" fillId="0" borderId="29" xfId="51" applyNumberFormat="1" applyFont="1" applyBorder="1" applyAlignment="1">
      <alignment horizontal="center" vertical="center"/>
    </xf>
    <xf numFmtId="3" fontId="4" fillId="0" borderId="42" xfId="0" applyNumberFormat="1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3" fontId="5" fillId="0" borderId="45" xfId="0" applyNumberFormat="1" applyFont="1" applyFill="1" applyBorder="1" applyAlignment="1">
      <alignment vertical="center"/>
    </xf>
    <xf numFmtId="3" fontId="5" fillId="0" borderId="27" xfId="0" applyNumberFormat="1" applyFont="1" applyFill="1" applyBorder="1" applyAlignment="1">
      <alignment vertical="center"/>
    </xf>
    <xf numFmtId="3" fontId="5" fillId="0" borderId="31" xfId="0" applyNumberFormat="1" applyFont="1" applyFill="1" applyBorder="1" applyAlignment="1">
      <alignment vertical="center"/>
    </xf>
    <xf numFmtId="3" fontId="5" fillId="0" borderId="25" xfId="0" applyNumberFormat="1" applyFont="1" applyFill="1" applyBorder="1" applyAlignment="1">
      <alignment vertical="center"/>
    </xf>
    <xf numFmtId="3" fontId="5" fillId="0" borderId="0" xfId="0" applyNumberFormat="1" applyFont="1" applyFill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46" xfId="0" applyNumberFormat="1" applyFont="1" applyFill="1" applyBorder="1" applyAlignment="1">
      <alignment vertical="center"/>
    </xf>
    <xf numFmtId="0" fontId="4" fillId="0" borderId="43" xfId="0" applyFont="1" applyBorder="1" applyAlignment="1">
      <alignment vertical="center"/>
    </xf>
    <xf numFmtId="3" fontId="5" fillId="0" borderId="33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3" fontId="2" fillId="0" borderId="0" xfId="0" applyNumberFormat="1" applyFont="1" applyAlignment="1">
      <alignment vertical="center"/>
    </xf>
    <xf numFmtId="3" fontId="3" fillId="0" borderId="0" xfId="0" applyNumberFormat="1" applyFont="1" applyBorder="1" applyAlignment="1">
      <alignment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3" fontId="5" fillId="0" borderId="47" xfId="0" applyNumberFormat="1" applyFont="1" applyFill="1" applyBorder="1" applyAlignment="1">
      <alignment vertical="center"/>
    </xf>
    <xf numFmtId="3" fontId="4" fillId="0" borderId="25" xfId="0" applyNumberFormat="1" applyFont="1" applyBorder="1" applyAlignment="1">
      <alignment vertical="center"/>
    </xf>
    <xf numFmtId="3" fontId="4" fillId="0" borderId="48" xfId="0" applyNumberFormat="1" applyFont="1" applyBorder="1" applyAlignment="1">
      <alignment vertical="center"/>
    </xf>
    <xf numFmtId="3" fontId="60" fillId="0" borderId="24" xfId="0" applyNumberFormat="1" applyFont="1" applyBorder="1" applyAlignment="1">
      <alignment vertical="center"/>
    </xf>
    <xf numFmtId="0" fontId="4" fillId="0" borderId="36" xfId="0" applyFont="1" applyFill="1" applyBorder="1" applyAlignment="1">
      <alignment vertical="center" wrapText="1"/>
    </xf>
    <xf numFmtId="3" fontId="4" fillId="0" borderId="45" xfId="0" applyNumberFormat="1" applyFont="1" applyFill="1" applyBorder="1" applyAlignment="1">
      <alignment vertical="center"/>
    </xf>
    <xf numFmtId="10" fontId="5" fillId="0" borderId="33" xfId="51" applyNumberFormat="1" applyFont="1" applyFill="1" applyBorder="1" applyAlignment="1">
      <alignment horizontal="center" vertical="center"/>
    </xf>
    <xf numFmtId="3" fontId="2" fillId="0" borderId="24" xfId="0" applyNumberFormat="1" applyFont="1" applyBorder="1" applyAlignment="1" quotePrefix="1">
      <alignment horizontal="right" vertical="center"/>
    </xf>
    <xf numFmtId="0" fontId="7" fillId="0" borderId="0" xfId="0" applyFont="1" applyAlignment="1">
      <alignment horizontal="center" vertical="center"/>
    </xf>
    <xf numFmtId="0" fontId="61" fillId="0" borderId="0" xfId="0" applyFont="1" applyAlignment="1">
      <alignment vertical="center"/>
    </xf>
    <xf numFmtId="0" fontId="61" fillId="0" borderId="0" xfId="0" applyFont="1" applyAlignment="1">
      <alignment horizontal="center" vertical="center"/>
    </xf>
    <xf numFmtId="0" fontId="61" fillId="0" borderId="0" xfId="0" applyFont="1" applyAlignment="1" quotePrefix="1">
      <alignment horizontal="center" vertical="center"/>
    </xf>
    <xf numFmtId="3" fontId="4" fillId="0" borderId="36" xfId="0" applyNumberFormat="1" applyFont="1" applyFill="1" applyBorder="1" applyAlignment="1">
      <alignment vertical="center"/>
    </xf>
    <xf numFmtId="3" fontId="4" fillId="0" borderId="37" xfId="0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vertical="center"/>
    </xf>
    <xf numFmtId="0" fontId="4" fillId="0" borderId="32" xfId="0" applyFont="1" applyBorder="1" applyAlignment="1" quotePrefix="1">
      <alignment vertical="center"/>
    </xf>
    <xf numFmtId="0" fontId="62" fillId="0" borderId="0" xfId="0" applyFont="1" applyBorder="1" applyAlignment="1">
      <alignment/>
    </xf>
    <xf numFmtId="0" fontId="63" fillId="0" borderId="0" xfId="0" applyFont="1" applyBorder="1" applyAlignment="1">
      <alignment/>
    </xf>
    <xf numFmtId="3" fontId="2" fillId="0" borderId="24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vertical="center"/>
    </xf>
    <xf numFmtId="3" fontId="4" fillId="0" borderId="45" xfId="0" applyNumberFormat="1" applyFont="1" applyBorder="1" applyAlignment="1">
      <alignment vertical="center"/>
    </xf>
    <xf numFmtId="3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/>
    </xf>
    <xf numFmtId="1" fontId="2" fillId="33" borderId="27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0"/>
  <sheetViews>
    <sheetView zoomScalePageLayoutView="0" workbookViewId="0" topLeftCell="A13">
      <selection activeCell="A21" sqref="A21"/>
    </sheetView>
  </sheetViews>
  <sheetFormatPr defaultColWidth="11.421875" defaultRowHeight="12.75"/>
  <cols>
    <col min="1" max="1" width="80.421875" style="88" customWidth="1"/>
    <col min="2" max="16384" width="11.421875" style="2" customWidth="1"/>
  </cols>
  <sheetData>
    <row r="1" s="85" customFormat="1" ht="25.5">
      <c r="A1" s="84" t="s">
        <v>85</v>
      </c>
    </row>
    <row r="13" ht="21">
      <c r="A13" s="178"/>
    </row>
    <row r="15" s="87" customFormat="1" ht="33">
      <c r="A15" s="86" t="s">
        <v>198</v>
      </c>
    </row>
    <row r="18" s="90" customFormat="1" ht="20.25" customHeight="1">
      <c r="A18" s="89" t="s">
        <v>219</v>
      </c>
    </row>
    <row r="19" s="90" customFormat="1" ht="20.25" customHeight="1">
      <c r="A19" s="89" t="s">
        <v>220</v>
      </c>
    </row>
    <row r="20" s="90" customFormat="1" ht="20.25" customHeight="1">
      <c r="A20" s="89" t="s">
        <v>221</v>
      </c>
    </row>
    <row r="21" s="90" customFormat="1" ht="20.25" customHeight="1">
      <c r="A21" s="89"/>
    </row>
    <row r="22" s="90" customFormat="1" ht="20.25" customHeight="1">
      <c r="A22" s="89"/>
    </row>
    <row r="23" s="90" customFormat="1" ht="20.25" customHeight="1">
      <c r="A23" s="89"/>
    </row>
    <row r="24" s="90" customFormat="1" ht="20.25" customHeight="1">
      <c r="A24" s="89"/>
    </row>
    <row r="25" s="90" customFormat="1" ht="20.25" customHeight="1">
      <c r="A25" s="89"/>
    </row>
    <row r="28" s="179" customFormat="1" ht="23.25">
      <c r="A28" s="181"/>
    </row>
    <row r="29" s="179" customFormat="1" ht="23.25">
      <c r="A29" s="180"/>
    </row>
    <row r="30" s="166" customFormat="1" ht="15">
      <c r="A30" s="165"/>
    </row>
    <row r="31" s="168" customFormat="1" ht="15">
      <c r="A31" s="167"/>
    </row>
    <row r="32" s="168" customFormat="1" ht="15">
      <c r="A32" s="169"/>
    </row>
    <row r="33" s="168" customFormat="1" ht="15">
      <c r="A33" s="167"/>
    </row>
    <row r="34" s="168" customFormat="1" ht="15">
      <c r="A34" s="167"/>
    </row>
    <row r="40" s="92" customFormat="1" ht="14.25">
      <c r="A40" s="91"/>
    </row>
  </sheetData>
  <sheetProtection/>
  <printOptions horizontalCentered="1" verticalCentered="1"/>
  <pageMargins left="0.9448818897637796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4"/>
  <sheetViews>
    <sheetView zoomScalePageLayoutView="0" workbookViewId="0" topLeftCell="A1">
      <selection activeCell="I55" sqref="I55"/>
    </sheetView>
  </sheetViews>
  <sheetFormatPr defaultColWidth="11.421875" defaultRowHeight="12.75"/>
  <cols>
    <col min="1" max="1" width="4.57421875" style="3" customWidth="1"/>
    <col min="2" max="2" width="38.140625" style="2" customWidth="1"/>
    <col min="3" max="3" width="11.7109375" style="4" bestFit="1" customWidth="1"/>
    <col min="4" max="4" width="11.421875" style="4" customWidth="1"/>
    <col min="5" max="5" width="10.8515625" style="4" bestFit="1" customWidth="1"/>
    <col min="6" max="6" width="11.421875" style="4" bestFit="1" customWidth="1"/>
    <col min="7" max="16384" width="11.421875" style="2" customWidth="1"/>
  </cols>
  <sheetData>
    <row r="1" spans="1:6" s="23" customFormat="1" ht="18">
      <c r="A1" s="193" t="s">
        <v>85</v>
      </c>
      <c r="B1" s="193"/>
      <c r="C1" s="193"/>
      <c r="D1" s="193"/>
      <c r="E1" s="193"/>
      <c r="F1" s="193"/>
    </row>
    <row r="2" spans="1:6" s="23" customFormat="1" ht="18">
      <c r="A2" s="193" t="s">
        <v>203</v>
      </c>
      <c r="B2" s="193"/>
      <c r="C2" s="193"/>
      <c r="D2" s="193"/>
      <c r="E2" s="193"/>
      <c r="F2" s="193"/>
    </row>
    <row r="3" spans="1:6" s="23" customFormat="1" ht="18">
      <c r="A3" s="193" t="s">
        <v>199</v>
      </c>
      <c r="B3" s="193"/>
      <c r="C3" s="193"/>
      <c r="D3" s="193"/>
      <c r="E3" s="193"/>
      <c r="F3" s="193"/>
    </row>
    <row r="5" spans="1:6" s="5" customFormat="1" ht="12.75">
      <c r="A5" s="10"/>
      <c r="B5" s="11" t="s">
        <v>0</v>
      </c>
      <c r="C5" s="194">
        <v>2020</v>
      </c>
      <c r="D5" s="195"/>
      <c r="E5" s="194">
        <v>2019</v>
      </c>
      <c r="F5" s="195"/>
    </row>
    <row r="6" ht="6" customHeight="1">
      <c r="B6" s="1"/>
    </row>
    <row r="7" spans="1:6" ht="12.75">
      <c r="A7" s="12" t="s">
        <v>86</v>
      </c>
      <c r="B7" s="13" t="s">
        <v>44</v>
      </c>
      <c r="C7" s="26"/>
      <c r="D7" s="27">
        <f>SUM('G&amp;VErl'!F16)</f>
        <v>12999000</v>
      </c>
      <c r="E7" s="26"/>
      <c r="F7" s="27">
        <v>10208000</v>
      </c>
    </row>
    <row r="8" spans="1:6" ht="7.5" customHeight="1">
      <c r="A8" s="14"/>
      <c r="B8" s="15"/>
      <c r="C8" s="28"/>
      <c r="D8" s="29"/>
      <c r="E8" s="28"/>
      <c r="F8" s="29"/>
    </row>
    <row r="9" spans="1:6" ht="12.75">
      <c r="A9" s="14" t="s">
        <v>87</v>
      </c>
      <c r="B9" s="17" t="s">
        <v>88</v>
      </c>
      <c r="C9" s="28"/>
      <c r="D9" s="29"/>
      <c r="E9" s="28"/>
      <c r="F9" s="29"/>
    </row>
    <row r="10" spans="1:6" ht="6" customHeight="1">
      <c r="A10" s="14"/>
      <c r="B10" s="15"/>
      <c r="C10" s="28"/>
      <c r="D10" s="29"/>
      <c r="E10" s="28"/>
      <c r="F10" s="29"/>
    </row>
    <row r="11" spans="1:6" ht="12.75">
      <c r="A11" s="14"/>
      <c r="B11" s="15" t="s">
        <v>89</v>
      </c>
      <c r="C11" s="28"/>
      <c r="D11" s="29">
        <f>SUM('G&amp;VErl'!F20)</f>
        <v>0</v>
      </c>
      <c r="E11" s="28"/>
      <c r="F11" s="29">
        <v>0</v>
      </c>
    </row>
    <row r="12" spans="1:6" ht="6" customHeight="1">
      <c r="A12" s="14"/>
      <c r="B12" s="15"/>
      <c r="C12" s="28"/>
      <c r="D12" s="29"/>
      <c r="E12" s="28"/>
      <c r="F12" s="29"/>
    </row>
    <row r="13" spans="1:16" s="5" customFormat="1" ht="12.75">
      <c r="A13" s="18" t="s">
        <v>90</v>
      </c>
      <c r="B13" s="19" t="s">
        <v>91</v>
      </c>
      <c r="C13" s="30"/>
      <c r="D13" s="31">
        <f>SUM(D7:D11)</f>
        <v>12999000</v>
      </c>
      <c r="E13" s="30"/>
      <c r="F13" s="31">
        <f>SUM(F7:F11)</f>
        <v>10208000</v>
      </c>
      <c r="G13" s="163"/>
      <c r="H13" s="163"/>
      <c r="I13" s="163"/>
      <c r="J13" s="163"/>
      <c r="K13" s="163"/>
      <c r="L13" s="163"/>
      <c r="M13" s="163"/>
      <c r="N13" s="163"/>
      <c r="O13" s="163"/>
      <c r="P13" s="163"/>
    </row>
    <row r="14" spans="1:16" ht="7.5" customHeight="1">
      <c r="A14" s="14"/>
      <c r="B14" s="15"/>
      <c r="C14" s="28"/>
      <c r="D14" s="29"/>
      <c r="E14" s="28"/>
      <c r="F14" s="29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6" ht="26.25">
      <c r="A15" s="14" t="s">
        <v>92</v>
      </c>
      <c r="B15" s="17" t="s">
        <v>78</v>
      </c>
      <c r="C15" s="28"/>
      <c r="D15" s="29"/>
      <c r="E15" s="28"/>
      <c r="F15" s="29"/>
    </row>
    <row r="16" spans="1:6" ht="6" customHeight="1">
      <c r="A16" s="14"/>
      <c r="B16" s="15"/>
      <c r="C16" s="28"/>
      <c r="D16" s="29"/>
      <c r="E16" s="28"/>
      <c r="F16" s="29"/>
    </row>
    <row r="17" spans="1:6" ht="12.75">
      <c r="A17" s="14"/>
      <c r="B17" s="15" t="s">
        <v>93</v>
      </c>
      <c r="C17" s="28">
        <f>SUM('G&amp;VErl'!F38)</f>
        <v>1297000</v>
      </c>
      <c r="D17" s="29"/>
      <c r="E17" s="28">
        <v>1168000</v>
      </c>
      <c r="F17" s="29"/>
    </row>
    <row r="18" spans="1:16" ht="12.75">
      <c r="A18" s="14"/>
      <c r="B18" s="15" t="s">
        <v>94</v>
      </c>
      <c r="C18" s="32">
        <f>SUM('G&amp;VErl'!F55)</f>
        <v>6191000</v>
      </c>
      <c r="D18" s="29">
        <f>SUM(C17:C18)</f>
        <v>7488000</v>
      </c>
      <c r="E18" s="32">
        <v>5206000</v>
      </c>
      <c r="F18" s="29">
        <f>SUM(E17:E18)</f>
        <v>6374000</v>
      </c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ht="7.5" customHeight="1">
      <c r="A19" s="14"/>
      <c r="B19" s="15"/>
      <c r="C19" s="28"/>
      <c r="D19" s="29"/>
      <c r="E19" s="28"/>
      <c r="F19" s="29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ht="12.75">
      <c r="A20" s="14" t="s">
        <v>95</v>
      </c>
      <c r="B20" s="17" t="s">
        <v>53</v>
      </c>
      <c r="C20" s="28"/>
      <c r="D20" s="29"/>
      <c r="E20" s="28"/>
      <c r="F20" s="29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6" ht="6" customHeight="1">
      <c r="A21" s="14"/>
      <c r="B21" s="15"/>
      <c r="C21" s="28"/>
      <c r="D21" s="29"/>
      <c r="E21" s="28"/>
      <c r="F21" s="29"/>
    </row>
    <row r="22" spans="1:6" ht="12.75">
      <c r="A22" s="14"/>
      <c r="B22" s="15" t="s">
        <v>96</v>
      </c>
      <c r="C22" s="28">
        <f>SUM('G&amp;VErl'!F58)</f>
        <v>810000</v>
      </c>
      <c r="D22" s="29"/>
      <c r="E22" s="28">
        <v>695000</v>
      </c>
      <c r="F22" s="29"/>
    </row>
    <row r="23" spans="1:6" ht="12.75">
      <c r="A23" s="14"/>
      <c r="B23" s="15" t="s">
        <v>97</v>
      </c>
      <c r="C23" s="28">
        <f>SUM('G&amp;VErl'!F59)</f>
        <v>3240000</v>
      </c>
      <c r="D23" s="29"/>
      <c r="E23" s="28">
        <v>2860000</v>
      </c>
      <c r="F23" s="29"/>
    </row>
    <row r="24" spans="1:6" ht="12.75">
      <c r="A24" s="14"/>
      <c r="B24" s="15" t="s">
        <v>98</v>
      </c>
      <c r="C24" s="28">
        <f>SUM('G&amp;VErl'!F60)</f>
        <v>95000</v>
      </c>
      <c r="D24" s="29"/>
      <c r="E24" s="28">
        <v>80000</v>
      </c>
      <c r="F24" s="29"/>
    </row>
    <row r="25" spans="1:6" ht="12.75">
      <c r="A25" s="14"/>
      <c r="B25" s="15" t="s">
        <v>99</v>
      </c>
      <c r="C25" s="28"/>
      <c r="D25" s="29"/>
      <c r="E25" s="28"/>
      <c r="F25" s="29"/>
    </row>
    <row r="26" spans="1:6" ht="12.75">
      <c r="A26" s="14"/>
      <c r="B26" s="15" t="s">
        <v>100</v>
      </c>
      <c r="C26" s="28"/>
      <c r="D26" s="29"/>
      <c r="E26" s="28"/>
      <c r="F26" s="29"/>
    </row>
    <row r="27" spans="1:6" ht="12.75">
      <c r="A27" s="14"/>
      <c r="B27" s="15" t="s">
        <v>101</v>
      </c>
      <c r="C27" s="28">
        <f>SUM('G&amp;VErl'!F62)</f>
        <v>1025000</v>
      </c>
      <c r="D27" s="29"/>
      <c r="E27" s="28">
        <v>995000</v>
      </c>
      <c r="F27" s="29"/>
    </row>
    <row r="28" spans="1:6" ht="12.75">
      <c r="A28" s="14"/>
      <c r="B28" s="15" t="s">
        <v>102</v>
      </c>
      <c r="C28" s="32">
        <f>SUM('G&amp;VErl'!F63)</f>
        <v>8000</v>
      </c>
      <c r="D28" s="29">
        <f>SUM(C22:C28)</f>
        <v>5178000</v>
      </c>
      <c r="E28" s="32">
        <v>8000</v>
      </c>
      <c r="F28" s="29">
        <f>SUM(E22:E28)</f>
        <v>4638000</v>
      </c>
    </row>
    <row r="29" spans="1:6" ht="7.5" customHeight="1">
      <c r="A29" s="14"/>
      <c r="B29" s="15"/>
      <c r="C29" s="28"/>
      <c r="D29" s="29"/>
      <c r="E29" s="28"/>
      <c r="F29" s="29"/>
    </row>
    <row r="30" spans="1:6" ht="12.75">
      <c r="A30" s="14" t="s">
        <v>103</v>
      </c>
      <c r="B30" s="17" t="s">
        <v>19</v>
      </c>
      <c r="C30" s="28"/>
      <c r="D30" s="29"/>
      <c r="E30" s="28"/>
      <c r="F30" s="29"/>
    </row>
    <row r="31" spans="1:6" ht="6" customHeight="1">
      <c r="A31" s="14"/>
      <c r="B31" s="15"/>
      <c r="C31" s="28"/>
      <c r="D31" s="29"/>
      <c r="E31" s="28"/>
      <c r="F31" s="29"/>
    </row>
    <row r="32" spans="1:6" ht="12.75">
      <c r="A32" s="14"/>
      <c r="B32" s="15" t="s">
        <v>104</v>
      </c>
      <c r="C32" s="28"/>
      <c r="D32" s="29"/>
      <c r="E32" s="28"/>
      <c r="F32" s="29"/>
    </row>
    <row r="33" spans="1:6" ht="12.75">
      <c r="A33" s="14"/>
      <c r="B33" s="15" t="s">
        <v>105</v>
      </c>
      <c r="C33" s="28"/>
      <c r="D33" s="29"/>
      <c r="E33" s="28"/>
      <c r="F33" s="29"/>
    </row>
    <row r="34" spans="1:6" ht="6" customHeight="1">
      <c r="A34" s="14"/>
      <c r="B34" s="15"/>
      <c r="C34" s="28"/>
      <c r="D34" s="29"/>
      <c r="E34" s="28"/>
      <c r="F34" s="29"/>
    </row>
    <row r="35" spans="1:6" ht="12.75">
      <c r="A35" s="14"/>
      <c r="B35" s="15" t="s">
        <v>106</v>
      </c>
      <c r="C35" s="28"/>
      <c r="D35" s="29">
        <f>SUM('G&amp;VErl'!F68)</f>
        <v>256000</v>
      </c>
      <c r="E35" s="28"/>
      <c r="F35" s="29">
        <v>242000</v>
      </c>
    </row>
    <row r="36" spans="1:6" ht="7.5" customHeight="1">
      <c r="A36" s="14"/>
      <c r="B36" s="15"/>
      <c r="C36" s="28"/>
      <c r="D36" s="29"/>
      <c r="E36" s="28"/>
      <c r="F36" s="29"/>
    </row>
    <row r="37" spans="1:6" ht="12.75">
      <c r="A37" s="14" t="s">
        <v>107</v>
      </c>
      <c r="B37" s="17" t="s">
        <v>84</v>
      </c>
      <c r="C37" s="28"/>
      <c r="D37" s="29"/>
      <c r="E37" s="28"/>
      <c r="F37" s="29"/>
    </row>
    <row r="38" spans="1:6" ht="6" customHeight="1">
      <c r="A38" s="14"/>
      <c r="B38" s="15"/>
      <c r="C38" s="28"/>
      <c r="D38" s="29"/>
      <c r="E38" s="28"/>
      <c r="F38" s="29"/>
    </row>
    <row r="39" spans="1:6" ht="12.75">
      <c r="A39" s="14"/>
      <c r="B39" s="15" t="s">
        <v>108</v>
      </c>
      <c r="C39" s="28">
        <f>SUM('G&amp;VErl'!F73)</f>
        <v>83000</v>
      </c>
      <c r="D39" s="29"/>
      <c r="E39" s="28">
        <v>91000</v>
      </c>
      <c r="F39" s="29"/>
    </row>
    <row r="40" spans="1:6" ht="12.75">
      <c r="A40" s="14"/>
      <c r="B40" s="15" t="s">
        <v>109</v>
      </c>
      <c r="C40" s="32">
        <f>SUM('G&amp;VErl'!F112)</f>
        <v>5581000</v>
      </c>
      <c r="D40" s="29">
        <f>SUM(C39:C40)</f>
        <v>5664000</v>
      </c>
      <c r="E40" s="32">
        <v>4486000</v>
      </c>
      <c r="F40" s="29">
        <f>SUM(E39:E40)</f>
        <v>4577000</v>
      </c>
    </row>
    <row r="41" spans="1:6" ht="7.5" customHeight="1">
      <c r="A41" s="14"/>
      <c r="B41" s="15"/>
      <c r="C41" s="28"/>
      <c r="D41" s="29"/>
      <c r="E41" s="28"/>
      <c r="F41" s="29"/>
    </row>
    <row r="42" spans="1:6" s="5" customFormat="1" ht="26.25">
      <c r="A42" s="21" t="s">
        <v>110</v>
      </c>
      <c r="B42" s="22" t="s">
        <v>111</v>
      </c>
      <c r="C42" s="34"/>
      <c r="D42" s="35">
        <f>D13-D18-D28-D35-D40</f>
        <v>-5587000</v>
      </c>
      <c r="E42" s="34"/>
      <c r="F42" s="35">
        <f>F13-F18-F28-F35-F40</f>
        <v>-5623000</v>
      </c>
    </row>
    <row r="43" spans="1:6" s="39" customFormat="1" ht="40.5" customHeight="1">
      <c r="A43" s="189"/>
      <c r="B43" s="15"/>
      <c r="C43" s="190"/>
      <c r="D43" s="190"/>
      <c r="E43" s="190"/>
      <c r="F43" s="190"/>
    </row>
    <row r="44" spans="1:6" ht="12.75">
      <c r="A44" s="12" t="s">
        <v>112</v>
      </c>
      <c r="B44" s="13" t="s">
        <v>33</v>
      </c>
      <c r="C44" s="26"/>
      <c r="D44" s="27">
        <f>SUM('G&amp;VErl'!F114)</f>
        <v>1000</v>
      </c>
      <c r="E44" s="26"/>
      <c r="F44" s="27">
        <v>1000</v>
      </c>
    </row>
    <row r="45" spans="1:6" ht="6" customHeight="1">
      <c r="A45" s="14"/>
      <c r="B45" s="15"/>
      <c r="C45" s="28"/>
      <c r="D45" s="29"/>
      <c r="E45" s="28"/>
      <c r="F45" s="29"/>
    </row>
    <row r="46" spans="1:6" ht="12.75">
      <c r="A46" s="14" t="s">
        <v>113</v>
      </c>
      <c r="B46" s="17" t="s">
        <v>34</v>
      </c>
      <c r="C46" s="28"/>
      <c r="D46" s="33">
        <f>'G&amp;VErl'!F115</f>
        <v>0</v>
      </c>
      <c r="E46" s="28"/>
      <c r="F46" s="33">
        <f>SUM('G&amp;VErl'!G115)</f>
        <v>0</v>
      </c>
    </row>
    <row r="47" spans="1:6" ht="7.5" customHeight="1">
      <c r="A47" s="14"/>
      <c r="B47" s="15"/>
      <c r="C47" s="28"/>
      <c r="D47" s="29"/>
      <c r="E47" s="28"/>
      <c r="F47" s="29"/>
    </row>
    <row r="48" spans="1:6" s="5" customFormat="1" ht="26.25">
      <c r="A48" s="18" t="s">
        <v>114</v>
      </c>
      <c r="B48" s="19" t="s">
        <v>115</v>
      </c>
      <c r="C48" s="30"/>
      <c r="D48" s="31">
        <f>D44-D46</f>
        <v>1000</v>
      </c>
      <c r="E48" s="30"/>
      <c r="F48" s="31">
        <f>F44-F46</f>
        <v>1000</v>
      </c>
    </row>
    <row r="49" spans="1:6" ht="7.5" customHeight="1">
      <c r="A49" s="14"/>
      <c r="B49" s="15"/>
      <c r="C49" s="28"/>
      <c r="D49" s="29"/>
      <c r="E49" s="28"/>
      <c r="F49" s="29"/>
    </row>
    <row r="50" spans="1:6" s="5" customFormat="1" ht="26.25">
      <c r="A50" s="18" t="s">
        <v>116</v>
      </c>
      <c r="B50" s="19" t="s">
        <v>190</v>
      </c>
      <c r="C50" s="30"/>
      <c r="D50" s="31">
        <f>D42+D48</f>
        <v>-5586000</v>
      </c>
      <c r="E50" s="30"/>
      <c r="F50" s="31">
        <f>F42+F48</f>
        <v>-5622000</v>
      </c>
    </row>
    <row r="51" spans="1:6" ht="7.5" customHeight="1">
      <c r="A51" s="14"/>
      <c r="B51" s="15"/>
      <c r="C51" s="28"/>
      <c r="D51" s="29"/>
      <c r="E51" s="28"/>
      <c r="F51" s="29"/>
    </row>
    <row r="52" spans="1:6" ht="12.75">
      <c r="A52" s="20" t="s">
        <v>117</v>
      </c>
      <c r="B52" s="15" t="s">
        <v>75</v>
      </c>
      <c r="C52" s="28"/>
      <c r="D52" s="29"/>
      <c r="E52" s="28"/>
      <c r="F52" s="29"/>
    </row>
    <row r="53" spans="1:6" ht="12.75">
      <c r="A53" s="20"/>
      <c r="B53" s="15" t="s">
        <v>76</v>
      </c>
      <c r="C53" s="28">
        <f>SUM('G&amp;VErl'!F122)</f>
        <v>20000</v>
      </c>
      <c r="D53" s="29"/>
      <c r="E53" s="28">
        <v>20000</v>
      </c>
      <c r="F53" s="29"/>
    </row>
    <row r="54" spans="1:9" ht="12.75">
      <c r="A54" s="20"/>
      <c r="B54" s="15" t="s">
        <v>77</v>
      </c>
      <c r="C54" s="32">
        <v>0</v>
      </c>
      <c r="D54" s="29">
        <f>SUM(C53:C54)</f>
        <v>20000</v>
      </c>
      <c r="E54" s="32">
        <v>0</v>
      </c>
      <c r="F54" s="29">
        <f>SUM(E53:E54)</f>
        <v>20000</v>
      </c>
      <c r="I54" s="4"/>
    </row>
    <row r="55" spans="1:6" ht="7.5" customHeight="1">
      <c r="A55" s="14"/>
      <c r="B55" s="15"/>
      <c r="C55" s="28"/>
      <c r="D55" s="29"/>
      <c r="E55" s="28"/>
      <c r="F55" s="29"/>
    </row>
    <row r="56" spans="1:8" s="5" customFormat="1" ht="12.75">
      <c r="A56" s="18" t="s">
        <v>118</v>
      </c>
      <c r="B56" s="19" t="s">
        <v>192</v>
      </c>
      <c r="C56" s="30"/>
      <c r="D56" s="31">
        <f>D50-D54</f>
        <v>-5606000</v>
      </c>
      <c r="E56" s="30"/>
      <c r="F56" s="31">
        <f>F50-F54</f>
        <v>-5642000</v>
      </c>
      <c r="G56" s="163"/>
      <c r="H56" s="163"/>
    </row>
    <row r="57" spans="1:6" ht="7.5" customHeight="1">
      <c r="A57" s="14"/>
      <c r="B57" s="15"/>
      <c r="C57" s="28"/>
      <c r="D57" s="29"/>
      <c r="E57" s="28"/>
      <c r="F57" s="29"/>
    </row>
    <row r="58" spans="1:8" ht="26.25">
      <c r="A58" s="20" t="s">
        <v>119</v>
      </c>
      <c r="B58" s="15" t="s">
        <v>120</v>
      </c>
      <c r="C58" s="28">
        <f>(D56+C59+C61+C60)*-1</f>
        <v>4003000</v>
      </c>
      <c r="D58" s="29"/>
      <c r="E58" s="28">
        <v>3805000</v>
      </c>
      <c r="F58" s="29"/>
      <c r="G58" s="4"/>
      <c r="H58" s="24"/>
    </row>
    <row r="59" spans="1:7" ht="12.75">
      <c r="A59" s="20"/>
      <c r="B59" s="15" t="s">
        <v>121</v>
      </c>
      <c r="C59" s="28">
        <f>SUM('G&amp;VErl'!F76:F77)</f>
        <v>1147000</v>
      </c>
      <c r="D59" s="29"/>
      <c r="E59" s="28">
        <v>1295000</v>
      </c>
      <c r="F59" s="29"/>
      <c r="G59" s="4"/>
    </row>
    <row r="60" spans="1:10" ht="12.75">
      <c r="A60" s="20"/>
      <c r="B60" s="15" t="s">
        <v>161</v>
      </c>
      <c r="C60" s="28">
        <v>200000</v>
      </c>
      <c r="D60" s="29"/>
      <c r="E60" s="28">
        <v>300000</v>
      </c>
      <c r="F60" s="29"/>
      <c r="G60" s="4"/>
      <c r="H60" s="4"/>
      <c r="J60" s="4"/>
    </row>
    <row r="61" spans="1:9" ht="12.75">
      <c r="A61" s="20"/>
      <c r="B61" s="15" t="s">
        <v>122</v>
      </c>
      <c r="C61" s="32">
        <f>D35</f>
        <v>256000</v>
      </c>
      <c r="D61" s="29">
        <f>SUM(C58:C61)</f>
        <v>5606000</v>
      </c>
      <c r="E61" s="32">
        <v>242000</v>
      </c>
      <c r="F61" s="29">
        <f>SUM(E58:E61)</f>
        <v>5642000</v>
      </c>
      <c r="G61" s="4"/>
      <c r="H61" s="4"/>
      <c r="I61" s="4"/>
    </row>
    <row r="62" spans="1:9" ht="12.75">
      <c r="A62" s="20"/>
      <c r="B62" s="15"/>
      <c r="C62" s="28"/>
      <c r="D62" s="29"/>
      <c r="E62" s="28"/>
      <c r="F62" s="29"/>
      <c r="G62" s="4"/>
      <c r="I62" s="4"/>
    </row>
    <row r="63" spans="1:6" ht="12.75">
      <c r="A63" s="20" t="s">
        <v>123</v>
      </c>
      <c r="B63" s="15" t="s">
        <v>124</v>
      </c>
      <c r="C63" s="28"/>
      <c r="D63" s="29">
        <v>33448</v>
      </c>
      <c r="E63" s="28"/>
      <c r="F63" s="29">
        <v>33448</v>
      </c>
    </row>
    <row r="64" spans="1:6" ht="7.5" customHeight="1">
      <c r="A64" s="14"/>
      <c r="B64" s="15"/>
      <c r="C64" s="28"/>
      <c r="D64" s="29"/>
      <c r="E64" s="28"/>
      <c r="F64" s="29"/>
    </row>
    <row r="65" spans="1:9" s="5" customFormat="1" ht="12.75">
      <c r="A65" s="21" t="s">
        <v>125</v>
      </c>
      <c r="B65" s="22" t="s">
        <v>126</v>
      </c>
      <c r="C65" s="34"/>
      <c r="D65" s="35">
        <f>D56+D61+D63</f>
        <v>33448</v>
      </c>
      <c r="E65" s="34"/>
      <c r="F65" s="35">
        <f>F56+F61+F63</f>
        <v>33448</v>
      </c>
      <c r="H65" s="163"/>
      <c r="I65" s="163"/>
    </row>
    <row r="66" ht="12.75">
      <c r="B66" s="1"/>
    </row>
    <row r="67" spans="2:9" ht="12.75">
      <c r="B67" s="25"/>
      <c r="I67" s="4"/>
    </row>
    <row r="68" ht="12.75">
      <c r="B68" s="1"/>
    </row>
    <row r="69" spans="2:9" ht="12.75">
      <c r="B69" s="1"/>
      <c r="I69" s="4"/>
    </row>
    <row r="70" ht="12.75">
      <c r="B70" s="1"/>
    </row>
    <row r="71" ht="12.75">
      <c r="B71" s="1"/>
    </row>
    <row r="72" ht="12.75">
      <c r="B72" s="1"/>
    </row>
    <row r="73" ht="12.75">
      <c r="B73" s="1"/>
    </row>
    <row r="74" ht="12.75">
      <c r="B74" s="1"/>
    </row>
    <row r="75" ht="12.75">
      <c r="B75" s="1"/>
    </row>
    <row r="76" ht="12.75">
      <c r="B76" s="1"/>
    </row>
    <row r="77" ht="12.75">
      <c r="B77" s="1"/>
    </row>
    <row r="78" ht="12.75">
      <c r="B78" s="1"/>
    </row>
    <row r="79" ht="12.75">
      <c r="B79" s="1"/>
    </row>
    <row r="80" ht="12.75">
      <c r="B80" s="1"/>
    </row>
    <row r="81" ht="12.75">
      <c r="B81" s="1"/>
    </row>
    <row r="82" ht="12.75">
      <c r="B82" s="1"/>
    </row>
    <row r="83" ht="12.75">
      <c r="B83" s="1"/>
    </row>
    <row r="84" ht="12.75">
      <c r="B84" s="1"/>
    </row>
    <row r="85" ht="12.75">
      <c r="B85" s="1"/>
    </row>
    <row r="86" ht="12.75">
      <c r="B86" s="1"/>
    </row>
    <row r="87" ht="12.75">
      <c r="B87" s="1"/>
    </row>
    <row r="88" ht="12.75">
      <c r="B88" s="1"/>
    </row>
    <row r="89" ht="12.75">
      <c r="B89" s="1"/>
    </row>
    <row r="90" ht="12.75">
      <c r="B90" s="1"/>
    </row>
    <row r="91" ht="12.75">
      <c r="B91" s="1"/>
    </row>
    <row r="92" ht="12.75">
      <c r="B92" s="1"/>
    </row>
    <row r="93" ht="12.75">
      <c r="B93" s="1"/>
    </row>
    <row r="94" ht="12.75">
      <c r="B94" s="1"/>
    </row>
    <row r="95" ht="12.75">
      <c r="B95" s="1"/>
    </row>
    <row r="96" ht="12.75">
      <c r="B96" s="1"/>
    </row>
    <row r="97" ht="12.75">
      <c r="B97" s="1"/>
    </row>
    <row r="98" ht="12.75">
      <c r="B98" s="1"/>
    </row>
    <row r="99" ht="12.75">
      <c r="B99" s="1"/>
    </row>
    <row r="100" ht="12.75">
      <c r="B100" s="1"/>
    </row>
    <row r="101" ht="12.75">
      <c r="B101" s="1"/>
    </row>
    <row r="102" ht="12.75">
      <c r="B102" s="1"/>
    </row>
    <row r="103" ht="12.75">
      <c r="B103" s="1"/>
    </row>
    <row r="104" ht="12.75">
      <c r="B104" s="1"/>
    </row>
    <row r="105" ht="12.75">
      <c r="B105" s="1"/>
    </row>
    <row r="106" ht="12.75">
      <c r="B106" s="1"/>
    </row>
    <row r="107" ht="12.75">
      <c r="B107" s="1"/>
    </row>
    <row r="108" ht="12.75">
      <c r="B108" s="1"/>
    </row>
    <row r="109" ht="12.75">
      <c r="B109" s="1"/>
    </row>
    <row r="110" ht="12.75">
      <c r="B110" s="1"/>
    </row>
    <row r="111" ht="12.75">
      <c r="B111" s="1"/>
    </row>
    <row r="112" ht="12.75">
      <c r="B112" s="1"/>
    </row>
    <row r="113" ht="12.75">
      <c r="B113" s="1"/>
    </row>
    <row r="114" ht="12.75">
      <c r="B114" s="1"/>
    </row>
  </sheetData>
  <sheetProtection/>
  <mergeCells count="5">
    <mergeCell ref="A1:F1"/>
    <mergeCell ref="A2:F2"/>
    <mergeCell ref="A3:F3"/>
    <mergeCell ref="C5:D5"/>
    <mergeCell ref="E5:F5"/>
  </mergeCells>
  <printOptions horizontalCentered="1" verticalCentered="1"/>
  <pageMargins left="0.7874015748031497" right="0.5511811023622047" top="0.5511811023622047" bottom="0.5118110236220472" header="0.35433070866141736" footer="0.31496062992125984"/>
  <pageSetup horizontalDpi="600" verticalDpi="600" orientation="landscape" paperSize="9" r:id="rId1"/>
  <headerFooter alignWithMargins="0">
    <oddFooter>&amp;R&amp;"Arial,Fett"&amp;8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80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3.7109375" style="38" customWidth="1"/>
    <col min="2" max="2" width="41.57421875" style="38" customWidth="1"/>
    <col min="3" max="4" width="10.57421875" style="38" customWidth="1"/>
    <col min="5" max="6" width="3.7109375" style="38" customWidth="1"/>
    <col min="7" max="7" width="40.7109375" style="38" customWidth="1"/>
    <col min="8" max="9" width="10.57421875" style="38" customWidth="1"/>
    <col min="10" max="12" width="11.421875" style="38" customWidth="1"/>
    <col min="13" max="13" width="4.421875" style="38" bestFit="1" customWidth="1"/>
    <col min="14" max="14" width="4.140625" style="38" bestFit="1" customWidth="1"/>
    <col min="15" max="15" width="4.421875" style="38" bestFit="1" customWidth="1"/>
    <col min="16" max="16" width="3.57421875" style="38" bestFit="1" customWidth="1"/>
    <col min="17" max="17" width="4.421875" style="38" bestFit="1" customWidth="1"/>
    <col min="18" max="18" width="4.140625" style="38" bestFit="1" customWidth="1"/>
    <col min="19" max="19" width="4.421875" style="38" bestFit="1" customWidth="1"/>
    <col min="20" max="20" width="3.57421875" style="38" bestFit="1" customWidth="1"/>
    <col min="21" max="21" width="4.421875" style="38" bestFit="1" customWidth="1"/>
    <col min="22" max="16384" width="11.421875" style="38" customWidth="1"/>
  </cols>
  <sheetData>
    <row r="1" spans="1:9" s="36" customFormat="1" ht="21">
      <c r="A1" s="196" t="s">
        <v>85</v>
      </c>
      <c r="B1" s="196"/>
      <c r="C1" s="196"/>
      <c r="D1" s="196"/>
      <c r="E1" s="196"/>
      <c r="F1" s="196"/>
      <c r="G1" s="196"/>
      <c r="H1" s="196"/>
      <c r="I1" s="196"/>
    </row>
    <row r="2" spans="1:9" s="36" customFormat="1" ht="21">
      <c r="A2" s="196" t="s">
        <v>217</v>
      </c>
      <c r="B2" s="196"/>
      <c r="C2" s="196"/>
      <c r="D2" s="196"/>
      <c r="E2" s="196"/>
      <c r="F2" s="196"/>
      <c r="G2" s="196"/>
      <c r="H2" s="196"/>
      <c r="I2" s="196"/>
    </row>
    <row r="3" spans="1:9" ht="12.75">
      <c r="A3" s="37"/>
      <c r="B3" s="17"/>
      <c r="C3" s="37"/>
      <c r="D3" s="37"/>
      <c r="E3" s="37"/>
      <c r="F3" s="37"/>
      <c r="G3" s="17"/>
      <c r="H3" s="37"/>
      <c r="I3" s="37"/>
    </row>
    <row r="4" spans="1:9" ht="12.75">
      <c r="A4" s="39"/>
      <c r="B4" s="15"/>
      <c r="C4" s="39"/>
      <c r="D4" s="39"/>
      <c r="E4" s="39"/>
      <c r="F4" s="39"/>
      <c r="G4" s="15"/>
      <c r="H4" s="39"/>
      <c r="I4" s="39"/>
    </row>
    <row r="5" spans="1:9" ht="12.75">
      <c r="A5" s="40"/>
      <c r="B5" s="11" t="s">
        <v>127</v>
      </c>
      <c r="C5" s="41">
        <v>44196</v>
      </c>
      <c r="D5" s="41">
        <v>43830</v>
      </c>
      <c r="E5" s="37"/>
      <c r="F5" s="40"/>
      <c r="G5" s="11" t="s">
        <v>128</v>
      </c>
      <c r="H5" s="41">
        <v>44196</v>
      </c>
      <c r="I5" s="41">
        <v>43830</v>
      </c>
    </row>
    <row r="6" spans="1:9" ht="6" customHeight="1">
      <c r="A6" s="39"/>
      <c r="B6" s="15"/>
      <c r="C6" s="42"/>
      <c r="D6" s="42"/>
      <c r="E6" s="39"/>
      <c r="F6" s="39"/>
      <c r="G6" s="15"/>
      <c r="H6" s="42"/>
      <c r="I6" s="42"/>
    </row>
    <row r="7" spans="1:9" ht="12.75">
      <c r="A7" s="12" t="s">
        <v>129</v>
      </c>
      <c r="B7" s="13" t="s">
        <v>130</v>
      </c>
      <c r="C7" s="69"/>
      <c r="D7" s="70"/>
      <c r="E7" s="39"/>
      <c r="F7" s="12" t="s">
        <v>129</v>
      </c>
      <c r="G7" s="13" t="s">
        <v>131</v>
      </c>
      <c r="H7" s="69"/>
      <c r="I7" s="69"/>
    </row>
    <row r="8" spans="1:9" ht="12.75">
      <c r="A8" s="14" t="s">
        <v>132</v>
      </c>
      <c r="B8" s="17" t="s">
        <v>133</v>
      </c>
      <c r="C8" s="72"/>
      <c r="D8" s="73"/>
      <c r="E8" s="37"/>
      <c r="F8" s="43" t="s">
        <v>132</v>
      </c>
      <c r="G8" s="44" t="s">
        <v>194</v>
      </c>
      <c r="H8" s="72">
        <v>1000000</v>
      </c>
      <c r="I8" s="72">
        <v>1000000</v>
      </c>
    </row>
    <row r="9" spans="1:11" ht="12.75">
      <c r="A9" s="20" t="s">
        <v>86</v>
      </c>
      <c r="B9" s="15" t="s">
        <v>136</v>
      </c>
      <c r="C9" s="72">
        <v>368000</v>
      </c>
      <c r="D9" s="72">
        <v>380000</v>
      </c>
      <c r="E9" s="39"/>
      <c r="F9" s="20" t="s">
        <v>134</v>
      </c>
      <c r="G9" s="39" t="s">
        <v>135</v>
      </c>
      <c r="H9" s="78">
        <f>2563146.62-300000-200000</f>
        <v>2063146.62</v>
      </c>
      <c r="I9" s="78">
        <f>869000+430000-300000+598006.91</f>
        <v>1597006.9100000001</v>
      </c>
      <c r="J9" s="164"/>
      <c r="K9" s="187"/>
    </row>
    <row r="10" spans="1:10" ht="12.75">
      <c r="A10" s="20"/>
      <c r="B10" s="15"/>
      <c r="C10" s="72"/>
      <c r="D10" s="72"/>
      <c r="E10" s="16"/>
      <c r="F10" s="20" t="s">
        <v>134</v>
      </c>
      <c r="G10" s="39" t="s">
        <v>126</v>
      </c>
      <c r="H10" s="78">
        <v>33448</v>
      </c>
      <c r="I10" s="78">
        <v>33448</v>
      </c>
      <c r="J10" s="164"/>
    </row>
    <row r="11" spans="1:11" ht="12.75">
      <c r="A11" s="14" t="s">
        <v>134</v>
      </c>
      <c r="B11" s="17" t="s">
        <v>137</v>
      </c>
      <c r="C11" s="72"/>
      <c r="D11" s="72"/>
      <c r="E11" s="16"/>
      <c r="F11" s="20"/>
      <c r="G11" s="39"/>
      <c r="H11" s="78"/>
      <c r="I11" s="78"/>
      <c r="K11" s="186"/>
    </row>
    <row r="12" spans="1:11" ht="12.75">
      <c r="A12" s="20" t="s">
        <v>86</v>
      </c>
      <c r="B12" s="15" t="s">
        <v>138</v>
      </c>
      <c r="C12" s="72">
        <v>50000</v>
      </c>
      <c r="D12" s="72">
        <v>53000</v>
      </c>
      <c r="E12" s="16"/>
      <c r="F12" s="20"/>
      <c r="G12" s="37" t="s">
        <v>187</v>
      </c>
      <c r="H12" s="177">
        <f>SUM(H8:H10)</f>
        <v>3096594.62</v>
      </c>
      <c r="I12" s="177">
        <f>SUM(I8:I10)</f>
        <v>2630454.91</v>
      </c>
      <c r="K12" s="164"/>
    </row>
    <row r="13" spans="1:9" ht="12.75">
      <c r="A13" s="20" t="s">
        <v>87</v>
      </c>
      <c r="B13" s="15" t="s">
        <v>140</v>
      </c>
      <c r="C13" s="72">
        <v>0</v>
      </c>
      <c r="D13" s="72">
        <v>0</v>
      </c>
      <c r="E13" s="16"/>
      <c r="F13" s="45"/>
      <c r="G13" s="46"/>
      <c r="H13" s="72"/>
      <c r="I13" s="72"/>
    </row>
    <row r="14" spans="1:10" ht="12.75">
      <c r="A14" s="20" t="s">
        <v>90</v>
      </c>
      <c r="B14" s="15" t="s">
        <v>141</v>
      </c>
      <c r="C14" s="72">
        <v>1221000</v>
      </c>
      <c r="D14" s="72">
        <v>1207000</v>
      </c>
      <c r="E14" s="16"/>
      <c r="F14" s="49" t="s">
        <v>139</v>
      </c>
      <c r="G14" s="50" t="s">
        <v>143</v>
      </c>
      <c r="H14" s="72"/>
      <c r="I14" s="72"/>
      <c r="J14" s="47"/>
    </row>
    <row r="15" spans="1:9" ht="12.75">
      <c r="A15" s="20"/>
      <c r="B15" s="15"/>
      <c r="C15" s="72"/>
      <c r="D15" s="72"/>
      <c r="E15" s="16"/>
      <c r="F15" s="43" t="s">
        <v>86</v>
      </c>
      <c r="G15" s="44" t="s">
        <v>144</v>
      </c>
      <c r="H15" s="72">
        <f>451000+28000+30000</f>
        <v>509000</v>
      </c>
      <c r="I15" s="72">
        <f>494000+28000</f>
        <v>522000</v>
      </c>
    </row>
    <row r="16" spans="1:9" ht="12.75">
      <c r="A16" s="14" t="s">
        <v>206</v>
      </c>
      <c r="B16" s="17" t="s">
        <v>207</v>
      </c>
      <c r="C16" s="71"/>
      <c r="D16" s="71"/>
      <c r="E16" s="16"/>
      <c r="F16" s="48" t="s">
        <v>87</v>
      </c>
      <c r="G16" s="38" t="s">
        <v>146</v>
      </c>
      <c r="H16" s="72">
        <f>262000+8000+20000</f>
        <v>290000</v>
      </c>
      <c r="I16" s="72">
        <f>234000+8000</f>
        <v>242000</v>
      </c>
    </row>
    <row r="17" spans="1:9" ht="12.75">
      <c r="A17" s="20" t="s">
        <v>86</v>
      </c>
      <c r="B17" s="15" t="s">
        <v>208</v>
      </c>
      <c r="C17" s="72">
        <v>283000</v>
      </c>
      <c r="D17" s="72">
        <v>0</v>
      </c>
      <c r="E17" s="16"/>
      <c r="F17" s="48"/>
      <c r="H17" s="74"/>
      <c r="I17" s="74"/>
    </row>
    <row r="18" spans="1:9" ht="12.75">
      <c r="A18" s="14"/>
      <c r="B18" s="17"/>
      <c r="C18" s="72"/>
      <c r="D18" s="72"/>
      <c r="E18" s="16"/>
      <c r="F18" s="48"/>
      <c r="G18" s="46" t="s">
        <v>188</v>
      </c>
      <c r="H18" s="188">
        <f>SUM(H15:H16)</f>
        <v>799000</v>
      </c>
      <c r="I18" s="188">
        <f>SUM(I15:I16)</f>
        <v>764000</v>
      </c>
    </row>
    <row r="19" spans="1:9" ht="12.75">
      <c r="A19" s="14"/>
      <c r="B19" s="17" t="s">
        <v>142</v>
      </c>
      <c r="C19" s="71">
        <f>SUM(C9:C17)</f>
        <v>1922000</v>
      </c>
      <c r="D19" s="71">
        <f>SUM(D9:D17)</f>
        <v>1640000</v>
      </c>
      <c r="E19" s="16"/>
      <c r="F19" s="49"/>
      <c r="G19" s="50"/>
      <c r="H19" s="72"/>
      <c r="I19" s="72"/>
    </row>
    <row r="20" spans="1:9" ht="12.75">
      <c r="A20" s="14"/>
      <c r="B20" s="17"/>
      <c r="C20" s="71"/>
      <c r="D20" s="71"/>
      <c r="E20" s="16"/>
      <c r="F20" s="49" t="s">
        <v>197</v>
      </c>
      <c r="G20" s="50" t="s">
        <v>147</v>
      </c>
      <c r="H20" s="72"/>
      <c r="I20" s="72"/>
    </row>
    <row r="21" spans="1:11" ht="12.75">
      <c r="A21" s="14" t="s">
        <v>139</v>
      </c>
      <c r="B21" s="17" t="s">
        <v>145</v>
      </c>
      <c r="C21" s="72"/>
      <c r="D21" s="72"/>
      <c r="E21" s="16"/>
      <c r="F21" s="43" t="s">
        <v>86</v>
      </c>
      <c r="G21" s="44" t="s">
        <v>149</v>
      </c>
      <c r="H21" s="72">
        <v>300000</v>
      </c>
      <c r="I21" s="72">
        <v>200000</v>
      </c>
      <c r="K21" s="164"/>
    </row>
    <row r="22" spans="1:9" ht="12.75">
      <c r="A22" s="14" t="s">
        <v>132</v>
      </c>
      <c r="B22" s="17" t="s">
        <v>148</v>
      </c>
      <c r="C22" s="173"/>
      <c r="D22" s="173"/>
      <c r="E22" s="16"/>
      <c r="F22" s="43" t="s">
        <v>87</v>
      </c>
      <c r="G22" s="44" t="s">
        <v>151</v>
      </c>
      <c r="H22" s="72">
        <v>1170000</v>
      </c>
      <c r="I22" s="72">
        <v>925000</v>
      </c>
    </row>
    <row r="23" spans="1:9" ht="12.75">
      <c r="A23" s="20" t="s">
        <v>86</v>
      </c>
      <c r="B23" s="15" t="s">
        <v>150</v>
      </c>
      <c r="C23" s="72">
        <v>910000</v>
      </c>
      <c r="D23" s="72">
        <v>939000</v>
      </c>
      <c r="E23" s="16"/>
      <c r="F23" s="43" t="s">
        <v>90</v>
      </c>
      <c r="G23" s="44" t="s">
        <v>153</v>
      </c>
      <c r="H23" s="72">
        <v>120000</v>
      </c>
      <c r="I23" s="72">
        <v>245000</v>
      </c>
    </row>
    <row r="24" spans="1:9" ht="12.75">
      <c r="A24" s="20" t="s">
        <v>87</v>
      </c>
      <c r="B24" s="15" t="s">
        <v>152</v>
      </c>
      <c r="C24" s="72">
        <v>200000</v>
      </c>
      <c r="D24" s="72">
        <v>241000</v>
      </c>
      <c r="E24" s="16"/>
      <c r="F24" s="49"/>
      <c r="G24" s="50"/>
      <c r="H24" s="72"/>
      <c r="I24" s="72"/>
    </row>
    <row r="25" spans="1:9" ht="12.75">
      <c r="A25" s="20"/>
      <c r="B25" s="15"/>
      <c r="C25" s="72"/>
      <c r="D25" s="72"/>
      <c r="E25" s="16"/>
      <c r="F25" s="43"/>
      <c r="G25" s="50" t="s">
        <v>189</v>
      </c>
      <c r="H25" s="71">
        <f>SUM(H21:H23)</f>
        <v>1590000</v>
      </c>
      <c r="I25" s="71">
        <f>SUM(I21:I23)</f>
        <v>1370000</v>
      </c>
    </row>
    <row r="26" spans="1:9" ht="12.75">
      <c r="A26" s="14" t="s">
        <v>134</v>
      </c>
      <c r="B26" s="17" t="s">
        <v>154</v>
      </c>
      <c r="C26" s="72"/>
      <c r="D26" s="72"/>
      <c r="E26" s="16"/>
      <c r="F26" s="43"/>
      <c r="G26" s="44"/>
      <c r="H26" s="72"/>
      <c r="I26" s="72"/>
    </row>
    <row r="27" spans="1:9" ht="12.75">
      <c r="A27" s="14"/>
      <c r="B27" s="15" t="s">
        <v>155</v>
      </c>
      <c r="C27" s="72">
        <v>26000</v>
      </c>
      <c r="D27" s="72">
        <v>26000</v>
      </c>
      <c r="E27" s="16"/>
      <c r="F27" s="43"/>
      <c r="G27" s="44"/>
      <c r="H27" s="72"/>
      <c r="I27" s="72"/>
    </row>
    <row r="28" spans="1:9" ht="12.75">
      <c r="A28" s="20"/>
      <c r="B28" s="15" t="s">
        <v>156</v>
      </c>
      <c r="C28" s="72">
        <f>2405595-200000</f>
        <v>2205595</v>
      </c>
      <c r="D28" s="72">
        <f>1160448+598006.91</f>
        <v>1758454.9100000001</v>
      </c>
      <c r="E28" s="16"/>
      <c r="F28" s="43"/>
      <c r="G28" s="44"/>
      <c r="H28" s="78"/>
      <c r="I28" s="78"/>
    </row>
    <row r="29" spans="1:13" ht="12.75">
      <c r="A29" s="20"/>
      <c r="B29" s="15"/>
      <c r="C29" s="72"/>
      <c r="D29" s="72"/>
      <c r="E29" s="16"/>
      <c r="F29" s="43"/>
      <c r="G29" s="52"/>
      <c r="H29" s="72"/>
      <c r="I29" s="72"/>
      <c r="K29" s="47"/>
      <c r="L29" s="47"/>
      <c r="M29" s="47"/>
    </row>
    <row r="30" spans="1:9" ht="12.75">
      <c r="A30" s="20"/>
      <c r="B30" s="17" t="s">
        <v>186</v>
      </c>
      <c r="C30" s="71">
        <f>SUM(C23:C29)</f>
        <v>3341595</v>
      </c>
      <c r="D30" s="71">
        <f>SUM(D23:D29)</f>
        <v>2964454.91</v>
      </c>
      <c r="E30" s="16"/>
      <c r="F30" s="43"/>
      <c r="G30" s="44"/>
      <c r="H30" s="78"/>
      <c r="I30" s="78"/>
    </row>
    <row r="31" spans="1:9" ht="12.75">
      <c r="A31" s="20"/>
      <c r="B31" s="15"/>
      <c r="C31" s="173"/>
      <c r="D31" s="173"/>
      <c r="E31" s="16"/>
      <c r="F31" s="43"/>
      <c r="G31" s="44"/>
      <c r="H31" s="78"/>
      <c r="I31" s="78"/>
    </row>
    <row r="32" spans="1:9" ht="12.75">
      <c r="A32" s="14" t="s">
        <v>195</v>
      </c>
      <c r="B32" s="17" t="s">
        <v>196</v>
      </c>
      <c r="C32" s="71">
        <v>160000</v>
      </c>
      <c r="D32" s="71">
        <v>160000</v>
      </c>
      <c r="E32" s="16"/>
      <c r="F32" s="43"/>
      <c r="G32" s="44"/>
      <c r="H32" s="78"/>
      <c r="I32" s="78"/>
    </row>
    <row r="33" spans="1:9" ht="12.75">
      <c r="A33" s="14"/>
      <c r="B33" s="17"/>
      <c r="C33" s="71"/>
      <c r="D33" s="71"/>
      <c r="E33" s="16"/>
      <c r="F33" s="43"/>
      <c r="G33" s="44"/>
      <c r="H33" s="78"/>
      <c r="I33" s="78"/>
    </row>
    <row r="34" spans="1:9" ht="12.75">
      <c r="A34" s="14" t="s">
        <v>209</v>
      </c>
      <c r="B34" s="17" t="s">
        <v>210</v>
      </c>
      <c r="C34" s="71">
        <v>62000</v>
      </c>
      <c r="D34" s="71">
        <v>0</v>
      </c>
      <c r="E34" s="16"/>
      <c r="F34" s="43"/>
      <c r="G34" s="52"/>
      <c r="H34" s="72"/>
      <c r="I34" s="72"/>
    </row>
    <row r="35" spans="1:9" ht="12.75">
      <c r="A35" s="20"/>
      <c r="B35" s="15"/>
      <c r="C35" s="173"/>
      <c r="D35" s="72"/>
      <c r="E35" s="16"/>
      <c r="F35" s="51"/>
      <c r="H35" s="79"/>
      <c r="I35" s="74"/>
    </row>
    <row r="36" spans="1:9" ht="12.75">
      <c r="A36" s="20"/>
      <c r="B36" s="15"/>
      <c r="C36" s="72"/>
      <c r="D36" s="72"/>
      <c r="E36" s="16"/>
      <c r="F36" s="51"/>
      <c r="H36" s="79"/>
      <c r="I36" s="74"/>
    </row>
    <row r="37" spans="1:9" ht="12.75">
      <c r="A37" s="53"/>
      <c r="B37" s="54"/>
      <c r="C37" s="76"/>
      <c r="D37" s="76"/>
      <c r="E37" s="16"/>
      <c r="F37" s="55"/>
      <c r="G37" s="56"/>
      <c r="H37" s="80"/>
      <c r="I37" s="80"/>
    </row>
    <row r="38" spans="1:9" ht="6" customHeight="1">
      <c r="A38" s="20"/>
      <c r="B38" s="15"/>
      <c r="C38" s="72"/>
      <c r="D38" s="72"/>
      <c r="E38" s="16"/>
      <c r="F38" s="43"/>
      <c r="H38" s="74"/>
      <c r="I38" s="75"/>
    </row>
    <row r="39" spans="1:9" ht="12.75">
      <c r="A39" s="57"/>
      <c r="B39" s="22" t="s">
        <v>157</v>
      </c>
      <c r="C39" s="77">
        <f>C19+C30+C32+C34</f>
        <v>5485595</v>
      </c>
      <c r="D39" s="77">
        <f>D19+D30+D32+D34</f>
        <v>4764454.91</v>
      </c>
      <c r="E39" s="16"/>
      <c r="F39" s="58"/>
      <c r="G39" s="59" t="s">
        <v>158</v>
      </c>
      <c r="H39" s="77">
        <f>SUM(H12,H18,H25)</f>
        <v>5485594.62</v>
      </c>
      <c r="I39" s="77">
        <f>SUM(I12,I18,I25)</f>
        <v>4764454.91</v>
      </c>
    </row>
    <row r="40" spans="1:9" ht="12.75">
      <c r="A40" s="60"/>
      <c r="C40" s="47"/>
      <c r="D40" s="47"/>
      <c r="E40" s="16"/>
      <c r="F40" s="61"/>
      <c r="G40" s="62"/>
      <c r="H40" s="81"/>
      <c r="I40" s="81"/>
    </row>
    <row r="41" spans="1:9" s="25" customFormat="1" ht="12">
      <c r="A41" s="63"/>
      <c r="C41" s="64"/>
      <c r="D41" s="64"/>
      <c r="E41" s="64"/>
      <c r="F41" s="65"/>
      <c r="G41" s="66"/>
      <c r="H41" s="67"/>
      <c r="I41" s="67"/>
    </row>
    <row r="42" spans="1:9" ht="12.75">
      <c r="A42" s="39"/>
      <c r="C42" s="47"/>
      <c r="E42" s="16"/>
      <c r="F42" s="16"/>
      <c r="G42" s="16"/>
      <c r="H42" s="16"/>
      <c r="I42" s="16"/>
    </row>
    <row r="43" spans="1:9" ht="12.75">
      <c r="A43" s="39"/>
      <c r="B43" s="68"/>
      <c r="C43" s="16"/>
      <c r="D43" s="16"/>
      <c r="E43" s="16"/>
      <c r="F43" s="16"/>
      <c r="G43" s="16"/>
      <c r="H43" s="16"/>
      <c r="I43" s="16"/>
    </row>
    <row r="44" spans="1:9" ht="12.75">
      <c r="A44" s="39"/>
      <c r="B44" s="15"/>
      <c r="C44" s="16"/>
      <c r="D44" s="16"/>
      <c r="E44" s="16"/>
      <c r="F44" s="16"/>
      <c r="G44" s="44"/>
      <c r="H44" s="16"/>
      <c r="I44" s="16"/>
    </row>
    <row r="45" spans="1:9" ht="12.75">
      <c r="A45" s="39"/>
      <c r="B45" s="15"/>
      <c r="C45" s="16"/>
      <c r="D45" s="16"/>
      <c r="E45" s="16"/>
      <c r="F45" s="16"/>
      <c r="G45" s="44"/>
      <c r="H45" s="16"/>
      <c r="I45" s="16"/>
    </row>
    <row r="46" spans="1:9" ht="12.75">
      <c r="A46" s="39"/>
      <c r="B46" s="15"/>
      <c r="C46" s="16"/>
      <c r="D46" s="16"/>
      <c r="E46" s="16"/>
      <c r="F46" s="16"/>
      <c r="G46" s="44"/>
      <c r="H46" s="16"/>
      <c r="I46" s="16"/>
    </row>
    <row r="47" spans="1:9" ht="12.75">
      <c r="A47" s="39"/>
      <c r="B47" s="15"/>
      <c r="C47" s="16"/>
      <c r="D47" s="16"/>
      <c r="E47" s="16"/>
      <c r="F47" s="16"/>
      <c r="G47" s="44"/>
      <c r="H47" s="16"/>
      <c r="I47" s="16"/>
    </row>
    <row r="48" spans="1:9" ht="12.75">
      <c r="A48" s="39"/>
      <c r="B48" s="15"/>
      <c r="C48" s="16"/>
      <c r="D48" s="16"/>
      <c r="E48" s="16"/>
      <c r="F48" s="16"/>
      <c r="G48" s="44"/>
      <c r="H48" s="16"/>
      <c r="I48" s="16"/>
    </row>
    <row r="49" spans="1:9" ht="12.75">
      <c r="A49" s="39"/>
      <c r="B49" s="15"/>
      <c r="C49" s="16"/>
      <c r="D49" s="16"/>
      <c r="E49" s="16"/>
      <c r="F49" s="16"/>
      <c r="G49" s="44"/>
      <c r="H49" s="16"/>
      <c r="I49" s="16"/>
    </row>
    <row r="50" spans="2:7" ht="12.75">
      <c r="B50" s="15"/>
      <c r="C50" s="39"/>
      <c r="D50" s="39"/>
      <c r="E50" s="39"/>
      <c r="F50" s="39"/>
      <c r="G50" s="15"/>
    </row>
    <row r="51" spans="2:7" ht="12.75">
      <c r="B51" s="15"/>
      <c r="C51" s="16"/>
      <c r="D51" s="16"/>
      <c r="E51" s="39"/>
      <c r="F51" s="39"/>
      <c r="G51" s="15"/>
    </row>
    <row r="52" spans="2:7" ht="12.75">
      <c r="B52" s="15"/>
      <c r="C52" s="39"/>
      <c r="D52" s="39"/>
      <c r="E52" s="39"/>
      <c r="F52" s="39"/>
      <c r="G52" s="15"/>
    </row>
    <row r="53" spans="2:7" ht="12.75">
      <c r="B53" s="15"/>
      <c r="C53" s="39"/>
      <c r="D53" s="39"/>
      <c r="E53" s="39"/>
      <c r="F53" s="39"/>
      <c r="G53" s="15"/>
    </row>
    <row r="54" spans="2:7" ht="12.75">
      <c r="B54" s="15"/>
      <c r="C54" s="39"/>
      <c r="D54" s="39"/>
      <c r="E54" s="39"/>
      <c r="F54" s="39"/>
      <c r="G54" s="15"/>
    </row>
    <row r="55" spans="2:7" ht="12.75">
      <c r="B55" s="15"/>
      <c r="C55" s="39"/>
      <c r="D55" s="39"/>
      <c r="E55" s="39"/>
      <c r="F55" s="39"/>
      <c r="G55" s="15"/>
    </row>
    <row r="56" spans="2:7" ht="12.75">
      <c r="B56" s="15"/>
      <c r="C56" s="39"/>
      <c r="D56" s="39"/>
      <c r="E56" s="39"/>
      <c r="F56" s="39"/>
      <c r="G56" s="15"/>
    </row>
    <row r="57" spans="2:7" ht="12.75">
      <c r="B57" s="15"/>
      <c r="C57" s="39"/>
      <c r="D57" s="39"/>
      <c r="E57" s="39"/>
      <c r="F57" s="39"/>
      <c r="G57" s="15"/>
    </row>
    <row r="58" spans="2:7" ht="12.75">
      <c r="B58" s="15"/>
      <c r="C58" s="39"/>
      <c r="D58" s="39"/>
      <c r="E58" s="39"/>
      <c r="F58" s="39"/>
      <c r="G58" s="15"/>
    </row>
    <row r="59" spans="2:7" ht="12.75">
      <c r="B59" s="15"/>
      <c r="C59" s="39"/>
      <c r="D59" s="39"/>
      <c r="E59" s="39"/>
      <c r="F59" s="39"/>
      <c r="G59" s="15"/>
    </row>
    <row r="60" spans="2:7" ht="12.75">
      <c r="B60" s="15"/>
      <c r="C60" s="39"/>
      <c r="D60" s="39"/>
      <c r="E60" s="39"/>
      <c r="F60" s="39"/>
      <c r="G60" s="15"/>
    </row>
    <row r="61" spans="2:7" ht="12.75">
      <c r="B61" s="15"/>
      <c r="C61" s="39"/>
      <c r="D61" s="39"/>
      <c r="E61" s="39"/>
      <c r="F61" s="39"/>
      <c r="G61" s="15"/>
    </row>
    <row r="62" spans="2:7" ht="12.75">
      <c r="B62" s="15"/>
      <c r="C62" s="39"/>
      <c r="D62" s="39"/>
      <c r="E62" s="39"/>
      <c r="F62" s="39"/>
      <c r="G62" s="15"/>
    </row>
    <row r="63" spans="2:7" ht="12.75">
      <c r="B63" s="15"/>
      <c r="C63" s="39"/>
      <c r="D63" s="39"/>
      <c r="E63" s="39"/>
      <c r="F63" s="39"/>
      <c r="G63" s="15"/>
    </row>
    <row r="64" spans="2:7" ht="12.75">
      <c r="B64" s="15"/>
      <c r="C64" s="39"/>
      <c r="D64" s="39"/>
      <c r="E64" s="39"/>
      <c r="F64" s="39"/>
      <c r="G64" s="15"/>
    </row>
    <row r="65" spans="2:7" ht="12.75">
      <c r="B65" s="15"/>
      <c r="C65" s="39"/>
      <c r="D65" s="39"/>
      <c r="E65" s="39"/>
      <c r="F65" s="39"/>
      <c r="G65" s="15"/>
    </row>
    <row r="66" spans="6:7" ht="12.75">
      <c r="F66" s="39"/>
      <c r="G66" s="15"/>
    </row>
    <row r="67" spans="6:7" ht="12.75">
      <c r="F67" s="39"/>
      <c r="G67" s="15"/>
    </row>
    <row r="68" spans="6:7" ht="12.75">
      <c r="F68" s="39"/>
      <c r="G68" s="15"/>
    </row>
    <row r="69" spans="6:7" ht="12.75">
      <c r="F69" s="39"/>
      <c r="G69" s="15"/>
    </row>
    <row r="70" spans="6:7" ht="12.75">
      <c r="F70" s="39"/>
      <c r="G70" s="15"/>
    </row>
    <row r="71" spans="6:7" ht="12.75">
      <c r="F71" s="39"/>
      <c r="G71" s="15"/>
    </row>
    <row r="72" spans="6:7" ht="12.75">
      <c r="F72" s="39"/>
      <c r="G72" s="15"/>
    </row>
    <row r="73" spans="6:7" ht="12.75">
      <c r="F73" s="39"/>
      <c r="G73" s="15"/>
    </row>
    <row r="74" spans="6:7" ht="12.75">
      <c r="F74" s="39"/>
      <c r="G74" s="15"/>
    </row>
    <row r="75" spans="6:7" ht="12.75">
      <c r="F75" s="39"/>
      <c r="G75" s="15"/>
    </row>
    <row r="76" spans="6:7" ht="12.75">
      <c r="F76" s="39"/>
      <c r="G76" s="15"/>
    </row>
    <row r="77" spans="6:7" ht="12.75">
      <c r="F77" s="39"/>
      <c r="G77" s="15"/>
    </row>
    <row r="78" spans="6:7" ht="12.75">
      <c r="F78" s="39"/>
      <c r="G78" s="15"/>
    </row>
    <row r="79" spans="6:7" ht="12.75">
      <c r="F79" s="39"/>
      <c r="G79" s="15"/>
    </row>
    <row r="80" spans="6:7" ht="12.75">
      <c r="F80" s="39"/>
      <c r="G80" s="15"/>
    </row>
  </sheetData>
  <sheetProtection/>
  <mergeCells count="2">
    <mergeCell ref="A1:I1"/>
    <mergeCell ref="A2:I2"/>
  </mergeCells>
  <printOptions horizontalCentered="1" verticalCentered="1"/>
  <pageMargins left="0.6299212598425197" right="0.5905511811023623" top="0.6299212598425197" bottom="0.7086614173228347" header="0.5118110236220472" footer="0.5118110236220472"/>
  <pageSetup horizontalDpi="600" verticalDpi="600" orientation="landscape" paperSize="9" r:id="rId1"/>
  <headerFooter alignWithMargins="0">
    <oddFooter>&amp;R&amp;"Arial,Fett"&amp;8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71"/>
  <sheetViews>
    <sheetView tabSelected="1" zoomScalePageLayoutView="0" workbookViewId="0" topLeftCell="A1">
      <pane ySplit="732" topLeftCell="A71" activePane="bottomLeft" state="split"/>
      <selection pane="topLeft" activeCell="A1" sqref="A1:IV16384"/>
      <selection pane="bottomLeft" activeCell="B136" sqref="B136"/>
    </sheetView>
  </sheetViews>
  <sheetFormatPr defaultColWidth="11.421875" defaultRowHeight="12.75"/>
  <cols>
    <col min="1" max="1" width="50.57421875" style="98" bestFit="1" customWidth="1"/>
    <col min="2" max="2" width="10.28125" style="98" bestFit="1" customWidth="1"/>
    <col min="3" max="3" width="11.28125" style="98" bestFit="1" customWidth="1"/>
    <col min="4" max="4" width="10.00390625" style="98" bestFit="1" customWidth="1"/>
    <col min="5" max="5" width="10.7109375" style="98" bestFit="1" customWidth="1"/>
    <col min="6" max="6" width="12.28125" style="114" bestFit="1" customWidth="1"/>
    <col min="7" max="7" width="9.7109375" style="98" bestFit="1" customWidth="1"/>
    <col min="8" max="8" width="10.421875" style="98" bestFit="1" customWidth="1"/>
    <col min="9" max="9" width="12.7109375" style="98" bestFit="1" customWidth="1"/>
    <col min="10" max="16384" width="11.421875" style="98" customWidth="1"/>
  </cols>
  <sheetData>
    <row r="1" spans="1:9" s="6" customFormat="1" ht="24">
      <c r="A1" s="7"/>
      <c r="B1" s="7" t="s">
        <v>42</v>
      </c>
      <c r="C1" s="9" t="s">
        <v>63</v>
      </c>
      <c r="D1" s="8" t="s">
        <v>159</v>
      </c>
      <c r="E1" s="9" t="s">
        <v>43</v>
      </c>
      <c r="F1" s="83">
        <v>2020</v>
      </c>
      <c r="G1" s="8" t="s">
        <v>200</v>
      </c>
      <c r="H1" s="9" t="s">
        <v>201</v>
      </c>
      <c r="I1" s="152" t="s">
        <v>202</v>
      </c>
    </row>
    <row r="2" spans="1:9" ht="13.5" customHeight="1">
      <c r="A2" s="93" t="s">
        <v>44</v>
      </c>
      <c r="B2" s="94"/>
      <c r="C2" s="95"/>
      <c r="D2" s="96"/>
      <c r="E2" s="95"/>
      <c r="F2" s="97"/>
      <c r="G2" s="96"/>
      <c r="H2" s="95"/>
      <c r="I2" s="149"/>
    </row>
    <row r="3" spans="1:9" ht="13.5" customHeight="1">
      <c r="A3" s="99" t="s">
        <v>1</v>
      </c>
      <c r="B3" s="100"/>
      <c r="C3" s="101">
        <v>100000</v>
      </c>
      <c r="D3" s="102"/>
      <c r="E3" s="101"/>
      <c r="F3" s="137">
        <f>SUM(B3:E3)</f>
        <v>100000</v>
      </c>
      <c r="G3" s="103">
        <v>110000</v>
      </c>
      <c r="H3" s="103">
        <v>95685.86</v>
      </c>
      <c r="I3" s="146">
        <f aca="true" t="shared" si="0" ref="I3:I16">(F3-G3)/G3</f>
        <v>-0.09090909090909091</v>
      </c>
    </row>
    <row r="4" spans="1:9" ht="13.5" customHeight="1">
      <c r="A4" s="99" t="s">
        <v>176</v>
      </c>
      <c r="B4" s="100"/>
      <c r="C4" s="101">
        <v>5500000</v>
      </c>
      <c r="D4" s="102"/>
      <c r="E4" s="101"/>
      <c r="F4" s="137">
        <f aca="true" t="shared" si="1" ref="F4:F15">SUM(B4:E4)</f>
        <v>5500000</v>
      </c>
      <c r="G4" s="103">
        <v>4600000</v>
      </c>
      <c r="H4" s="103">
        <v>5883734.05</v>
      </c>
      <c r="I4" s="146">
        <f t="shared" si="0"/>
        <v>0.1956521739130435</v>
      </c>
    </row>
    <row r="5" spans="1:9" ht="13.5" customHeight="1">
      <c r="A5" s="99" t="s">
        <v>2</v>
      </c>
      <c r="B5" s="100"/>
      <c r="C5" s="101">
        <v>90000</v>
      </c>
      <c r="D5" s="102"/>
      <c r="E5" s="101"/>
      <c r="F5" s="137">
        <f t="shared" si="1"/>
        <v>90000</v>
      </c>
      <c r="G5" s="103">
        <v>90000</v>
      </c>
      <c r="H5" s="103">
        <v>90060.46</v>
      </c>
      <c r="I5" s="146">
        <f t="shared" si="0"/>
        <v>0</v>
      </c>
    </row>
    <row r="6" spans="1:9" ht="13.5" customHeight="1">
      <c r="A6" s="99" t="s">
        <v>3</v>
      </c>
      <c r="B6" s="100"/>
      <c r="C6" s="101">
        <v>200000</v>
      </c>
      <c r="D6" s="102"/>
      <c r="E6" s="101"/>
      <c r="F6" s="137">
        <f t="shared" si="1"/>
        <v>200000</v>
      </c>
      <c r="G6" s="103">
        <v>170000</v>
      </c>
      <c r="H6" s="103">
        <v>205992.25</v>
      </c>
      <c r="I6" s="146">
        <f t="shared" si="0"/>
        <v>0.17647058823529413</v>
      </c>
    </row>
    <row r="7" spans="1:9" ht="13.5" customHeight="1">
      <c r="A7" s="99" t="s">
        <v>174</v>
      </c>
      <c r="B7" s="100">
        <v>2300000</v>
      </c>
      <c r="C7" s="101"/>
      <c r="D7" s="102"/>
      <c r="E7" s="101"/>
      <c r="F7" s="137">
        <f t="shared" si="1"/>
        <v>2300000</v>
      </c>
      <c r="G7" s="103">
        <v>2210000</v>
      </c>
      <c r="H7" s="103">
        <f>1018500.12+709615.77+558807.78+79446.83+101164.8-2864.91</f>
        <v>2464670.3899999997</v>
      </c>
      <c r="I7" s="146">
        <f t="shared" si="0"/>
        <v>0.04072398190045249</v>
      </c>
    </row>
    <row r="8" spans="1:9" ht="13.5" customHeight="1">
      <c r="A8" s="99" t="s">
        <v>5</v>
      </c>
      <c r="B8" s="100">
        <v>175000</v>
      </c>
      <c r="C8" s="101"/>
      <c r="D8" s="102"/>
      <c r="E8" s="101"/>
      <c r="F8" s="137">
        <f t="shared" si="1"/>
        <v>175000</v>
      </c>
      <c r="G8" s="103">
        <v>195000</v>
      </c>
      <c r="H8" s="103">
        <v>166990.25</v>
      </c>
      <c r="I8" s="146">
        <f t="shared" si="0"/>
        <v>-0.10256410256410256</v>
      </c>
    </row>
    <row r="9" spans="1:9" ht="13.5" customHeight="1">
      <c r="A9" s="99" t="s">
        <v>37</v>
      </c>
      <c r="B9" s="100">
        <v>75000</v>
      </c>
      <c r="C9" s="101"/>
      <c r="D9" s="102"/>
      <c r="E9" s="101"/>
      <c r="F9" s="137">
        <f t="shared" si="1"/>
        <v>75000</v>
      </c>
      <c r="G9" s="103">
        <v>70000</v>
      </c>
      <c r="H9" s="103">
        <v>73718.37</v>
      </c>
      <c r="I9" s="146">
        <f t="shared" si="0"/>
        <v>0.07142857142857142</v>
      </c>
    </row>
    <row r="10" spans="1:9" ht="13.5" customHeight="1">
      <c r="A10" s="140" t="s">
        <v>4</v>
      </c>
      <c r="B10" s="100"/>
      <c r="C10" s="101"/>
      <c r="D10" s="135">
        <v>67000</v>
      </c>
      <c r="E10" s="136"/>
      <c r="F10" s="137">
        <f t="shared" si="1"/>
        <v>67000</v>
      </c>
      <c r="G10" s="138">
        <v>47000</v>
      </c>
      <c r="H10" s="103">
        <v>55672.23</v>
      </c>
      <c r="I10" s="146">
        <f t="shared" si="0"/>
        <v>0.425531914893617</v>
      </c>
    </row>
    <row r="11" spans="1:9" ht="13.5" customHeight="1">
      <c r="A11" s="140" t="s">
        <v>165</v>
      </c>
      <c r="B11" s="100"/>
      <c r="C11" s="101"/>
      <c r="D11" s="135">
        <v>1380000</v>
      </c>
      <c r="E11" s="136"/>
      <c r="F11" s="137">
        <f t="shared" si="1"/>
        <v>1380000</v>
      </c>
      <c r="G11" s="138">
        <v>1450000</v>
      </c>
      <c r="H11" s="103">
        <v>1339578.41</v>
      </c>
      <c r="I11" s="146">
        <f t="shared" si="0"/>
        <v>-0.04827586206896552</v>
      </c>
    </row>
    <row r="12" spans="1:9" ht="13.5" customHeight="1">
      <c r="A12" s="140" t="s">
        <v>213</v>
      </c>
      <c r="B12" s="100"/>
      <c r="C12" s="101"/>
      <c r="D12" s="135">
        <v>805000</v>
      </c>
      <c r="E12" s="136"/>
      <c r="F12" s="137">
        <f t="shared" si="1"/>
        <v>805000</v>
      </c>
      <c r="G12" s="138">
        <v>236000</v>
      </c>
      <c r="H12" s="103">
        <v>0</v>
      </c>
      <c r="I12" s="146"/>
    </row>
    <row r="13" spans="1:9" ht="13.5" customHeight="1">
      <c r="A13" s="140" t="s">
        <v>164</v>
      </c>
      <c r="B13" s="100"/>
      <c r="C13" s="101"/>
      <c r="D13" s="135">
        <f>800000+40000</f>
        <v>840000</v>
      </c>
      <c r="E13" s="136"/>
      <c r="F13" s="137">
        <f t="shared" si="1"/>
        <v>840000</v>
      </c>
      <c r="G13" s="138">
        <v>252000</v>
      </c>
      <c r="H13" s="103">
        <v>0</v>
      </c>
      <c r="I13" s="146"/>
    </row>
    <row r="14" spans="1:9" ht="13.5" customHeight="1">
      <c r="A14" s="99" t="s">
        <v>214</v>
      </c>
      <c r="B14" s="100"/>
      <c r="C14" s="101"/>
      <c r="D14" s="102">
        <f>190000+50000+32000</f>
        <v>272000</v>
      </c>
      <c r="E14" s="101"/>
      <c r="F14" s="137">
        <f t="shared" si="1"/>
        <v>272000</v>
      </c>
      <c r="G14" s="103">
        <v>79000</v>
      </c>
      <c r="H14" s="103">
        <v>3235.04</v>
      </c>
      <c r="I14" s="146">
        <f t="shared" si="0"/>
        <v>2.4430379746835444</v>
      </c>
    </row>
    <row r="15" spans="1:9" ht="13.5" customHeight="1">
      <c r="A15" s="117" t="s">
        <v>205</v>
      </c>
      <c r="B15" s="118">
        <v>45000</v>
      </c>
      <c r="C15" s="119">
        <f>250000+900000</f>
        <v>1150000</v>
      </c>
      <c r="D15" s="82"/>
      <c r="E15" s="119"/>
      <c r="F15" s="137">
        <f t="shared" si="1"/>
        <v>1195000</v>
      </c>
      <c r="G15" s="171">
        <v>699000</v>
      </c>
      <c r="H15" s="172">
        <f>1116766.69+50000</f>
        <v>1166766.69</v>
      </c>
      <c r="I15" s="146">
        <f t="shared" si="0"/>
        <v>0.709585121602289</v>
      </c>
    </row>
    <row r="16" spans="1:9" s="114" customFormat="1" ht="13.5" customHeight="1">
      <c r="A16" s="110" t="s">
        <v>45</v>
      </c>
      <c r="B16" s="111">
        <f>SUM(B3:B15)</f>
        <v>2595000</v>
      </c>
      <c r="C16" s="111">
        <f aca="true" t="shared" si="2" ref="C16:H16">SUM(C3:C15)</f>
        <v>7040000</v>
      </c>
      <c r="D16" s="111">
        <f t="shared" si="2"/>
        <v>3364000</v>
      </c>
      <c r="E16" s="111">
        <f t="shared" si="2"/>
        <v>0</v>
      </c>
      <c r="F16" s="111">
        <f t="shared" si="2"/>
        <v>12999000</v>
      </c>
      <c r="G16" s="111">
        <f t="shared" si="2"/>
        <v>10208000</v>
      </c>
      <c r="H16" s="111">
        <f t="shared" si="2"/>
        <v>11546103.999999998</v>
      </c>
      <c r="I16" s="129">
        <f t="shared" si="0"/>
        <v>0.27341300940438873</v>
      </c>
    </row>
    <row r="17" spans="1:9" ht="7.5" customHeight="1">
      <c r="A17" s="115"/>
      <c r="B17" s="94"/>
      <c r="C17" s="95"/>
      <c r="D17" s="96"/>
      <c r="E17" s="95"/>
      <c r="F17" s="155"/>
      <c r="G17" s="96"/>
      <c r="H17" s="95"/>
      <c r="I17" s="149"/>
    </row>
    <row r="18" spans="1:9" ht="13.5" customHeight="1">
      <c r="A18" s="116" t="s">
        <v>82</v>
      </c>
      <c r="B18" s="100"/>
      <c r="C18" s="101"/>
      <c r="D18" s="102"/>
      <c r="E18" s="101"/>
      <c r="F18" s="137"/>
      <c r="G18" s="102"/>
      <c r="H18" s="101"/>
      <c r="I18" s="134"/>
    </row>
    <row r="19" spans="1:9" ht="13.5" customHeight="1">
      <c r="A19" s="105" t="s">
        <v>185</v>
      </c>
      <c r="B19" s="106">
        <v>0</v>
      </c>
      <c r="C19" s="107">
        <v>0</v>
      </c>
      <c r="D19" s="108">
        <v>0</v>
      </c>
      <c r="E19" s="107">
        <v>0</v>
      </c>
      <c r="F19" s="153">
        <f>SUM(B19:E19)</f>
        <v>0</v>
      </c>
      <c r="G19" s="103">
        <v>0</v>
      </c>
      <c r="H19" s="109">
        <v>2866.27</v>
      </c>
      <c r="I19" s="148"/>
    </row>
    <row r="20" spans="1:9" s="114" customFormat="1" ht="13.5" customHeight="1">
      <c r="A20" s="110" t="s">
        <v>46</v>
      </c>
      <c r="B20" s="111">
        <f>SUM(B19)</f>
        <v>0</v>
      </c>
      <c r="C20" s="112">
        <f aca="true" t="shared" si="3" ref="C20:H20">SUM(C19)</f>
        <v>0</v>
      </c>
      <c r="D20" s="113">
        <f t="shared" si="3"/>
        <v>0</v>
      </c>
      <c r="E20" s="112">
        <f t="shared" si="3"/>
        <v>0</v>
      </c>
      <c r="F20" s="154">
        <f t="shared" si="3"/>
        <v>0</v>
      </c>
      <c r="G20" s="112">
        <f t="shared" si="3"/>
        <v>0</v>
      </c>
      <c r="H20" s="112">
        <f t="shared" si="3"/>
        <v>2866.27</v>
      </c>
      <c r="I20" s="129"/>
    </row>
    <row r="21" spans="1:9" ht="7.5" customHeight="1">
      <c r="A21" s="117"/>
      <c r="B21" s="118"/>
      <c r="C21" s="119"/>
      <c r="D21" s="82"/>
      <c r="E21" s="119"/>
      <c r="F21" s="156"/>
      <c r="G21" s="82"/>
      <c r="H21" s="119"/>
      <c r="I21" s="145"/>
    </row>
    <row r="22" spans="1:9" s="114" customFormat="1" ht="13.5" customHeight="1">
      <c r="A22" s="120" t="s">
        <v>6</v>
      </c>
      <c r="B22" s="111">
        <f>SUM(B20,B16)</f>
        <v>2595000</v>
      </c>
      <c r="C22" s="112">
        <f aca="true" t="shared" si="4" ref="C22:H22">SUM(C20,C16)</f>
        <v>7040000</v>
      </c>
      <c r="D22" s="113">
        <f t="shared" si="4"/>
        <v>3364000</v>
      </c>
      <c r="E22" s="112">
        <f t="shared" si="4"/>
        <v>0</v>
      </c>
      <c r="F22" s="154">
        <f t="shared" si="4"/>
        <v>12999000</v>
      </c>
      <c r="G22" s="113">
        <f t="shared" si="4"/>
        <v>10208000</v>
      </c>
      <c r="H22" s="112">
        <f t="shared" si="4"/>
        <v>11548970.269999998</v>
      </c>
      <c r="I22" s="129">
        <f>(F22-G22)/G22</f>
        <v>0.27341300940438873</v>
      </c>
    </row>
    <row r="23" spans="1:9" ht="7.5" customHeight="1">
      <c r="A23" s="115"/>
      <c r="B23" s="94"/>
      <c r="C23" s="95"/>
      <c r="D23" s="96"/>
      <c r="E23" s="95"/>
      <c r="F23" s="155"/>
      <c r="G23" s="121"/>
      <c r="H23" s="95"/>
      <c r="I23" s="149"/>
    </row>
    <row r="24" spans="1:9" ht="13.5" customHeight="1">
      <c r="A24" s="116" t="s">
        <v>78</v>
      </c>
      <c r="B24" s="100"/>
      <c r="C24" s="101"/>
      <c r="D24" s="102"/>
      <c r="E24" s="101"/>
      <c r="F24" s="137"/>
      <c r="G24" s="122"/>
      <c r="H24" s="101"/>
      <c r="I24" s="134"/>
    </row>
    <row r="25" spans="1:9" ht="13.5" customHeight="1">
      <c r="A25" s="116" t="s">
        <v>47</v>
      </c>
      <c r="B25" s="100"/>
      <c r="C25" s="101"/>
      <c r="D25" s="102"/>
      <c r="E25" s="101"/>
      <c r="F25" s="137"/>
      <c r="G25" s="102"/>
      <c r="H25" s="101"/>
      <c r="I25" s="134"/>
    </row>
    <row r="26" spans="1:9" ht="13.5" customHeight="1">
      <c r="A26" s="99" t="s">
        <v>7</v>
      </c>
      <c r="B26" s="100"/>
      <c r="C26" s="101">
        <v>150000</v>
      </c>
      <c r="D26" s="102"/>
      <c r="E26" s="101"/>
      <c r="F26" s="137">
        <f aca="true" t="shared" si="5" ref="F26:F37">SUM(B26:E26)</f>
        <v>150000</v>
      </c>
      <c r="G26" s="103">
        <v>150000</v>
      </c>
      <c r="H26" s="103">
        <f>123858.86-4275.95</f>
        <v>119582.91</v>
      </c>
      <c r="I26" s="146">
        <f aca="true" t="shared" si="6" ref="I26:I38">(F26-G26)/G26</f>
        <v>0</v>
      </c>
    </row>
    <row r="27" spans="1:9" ht="13.5" customHeight="1">
      <c r="A27" s="99" t="s">
        <v>8</v>
      </c>
      <c r="B27" s="100"/>
      <c r="C27" s="101">
        <v>2000</v>
      </c>
      <c r="D27" s="102"/>
      <c r="E27" s="101"/>
      <c r="F27" s="137">
        <f t="shared" si="5"/>
        <v>2000</v>
      </c>
      <c r="G27" s="103">
        <v>2000</v>
      </c>
      <c r="H27" s="103">
        <v>2259.33</v>
      </c>
      <c r="I27" s="146">
        <f t="shared" si="6"/>
        <v>0</v>
      </c>
    </row>
    <row r="28" spans="1:9" ht="13.5" customHeight="1">
      <c r="A28" s="99" t="s">
        <v>9</v>
      </c>
      <c r="B28" s="100">
        <v>10000</v>
      </c>
      <c r="C28" s="101">
        <v>210000</v>
      </c>
      <c r="D28" s="102"/>
      <c r="E28" s="101"/>
      <c r="F28" s="137">
        <f t="shared" si="5"/>
        <v>220000</v>
      </c>
      <c r="G28" s="103">
        <v>200000</v>
      </c>
      <c r="H28" s="103">
        <f>169820.16-692.78-12.6-4339.89+50000</f>
        <v>214774.88999999998</v>
      </c>
      <c r="I28" s="146">
        <f t="shared" si="6"/>
        <v>0.1</v>
      </c>
    </row>
    <row r="29" spans="1:9" ht="13.5" customHeight="1">
      <c r="A29" s="99" t="s">
        <v>49</v>
      </c>
      <c r="B29" s="100">
        <v>1000</v>
      </c>
      <c r="C29" s="101">
        <v>2000</v>
      </c>
      <c r="D29" s="102"/>
      <c r="E29" s="101"/>
      <c r="F29" s="137">
        <f t="shared" si="5"/>
        <v>3000</v>
      </c>
      <c r="G29" s="103">
        <v>10000</v>
      </c>
      <c r="H29" s="103">
        <v>3176.19</v>
      </c>
      <c r="I29" s="146">
        <f t="shared" si="6"/>
        <v>-0.7</v>
      </c>
    </row>
    <row r="30" spans="1:9" ht="13.5" customHeight="1">
      <c r="A30" s="99" t="s">
        <v>31</v>
      </c>
      <c r="B30" s="100"/>
      <c r="C30" s="101">
        <v>3000</v>
      </c>
      <c r="D30" s="102"/>
      <c r="E30" s="101"/>
      <c r="F30" s="137">
        <f t="shared" si="5"/>
        <v>3000</v>
      </c>
      <c r="G30" s="103">
        <v>3000</v>
      </c>
      <c r="H30" s="103">
        <v>2593.23</v>
      </c>
      <c r="I30" s="146">
        <f t="shared" si="6"/>
        <v>0</v>
      </c>
    </row>
    <row r="31" spans="1:9" ht="13.5" customHeight="1">
      <c r="A31" s="99" t="s">
        <v>48</v>
      </c>
      <c r="B31" s="100"/>
      <c r="C31" s="101">
        <v>20000</v>
      </c>
      <c r="D31" s="102"/>
      <c r="E31" s="101"/>
      <c r="F31" s="137">
        <f t="shared" si="5"/>
        <v>20000</v>
      </c>
      <c r="G31" s="103">
        <v>20000</v>
      </c>
      <c r="H31" s="103">
        <v>14136</v>
      </c>
      <c r="I31" s="146">
        <f t="shared" si="6"/>
        <v>0</v>
      </c>
    </row>
    <row r="32" spans="1:9" ht="13.5" customHeight="1">
      <c r="A32" s="99" t="s">
        <v>10</v>
      </c>
      <c r="B32" s="100">
        <v>40000</v>
      </c>
      <c r="C32" s="101">
        <v>3000</v>
      </c>
      <c r="D32" s="102">
        <v>280000</v>
      </c>
      <c r="E32" s="101"/>
      <c r="F32" s="137">
        <f t="shared" si="5"/>
        <v>323000</v>
      </c>
      <c r="G32" s="103">
        <v>373000</v>
      </c>
      <c r="H32" s="103">
        <v>139861.03</v>
      </c>
      <c r="I32" s="146">
        <f t="shared" si="6"/>
        <v>-0.13404825737265416</v>
      </c>
    </row>
    <row r="33" spans="1:9" ht="13.5" customHeight="1">
      <c r="A33" s="99" t="s">
        <v>11</v>
      </c>
      <c r="B33" s="100">
        <v>6000</v>
      </c>
      <c r="C33" s="101">
        <v>1000</v>
      </c>
      <c r="D33" s="102">
        <v>45000</v>
      </c>
      <c r="E33" s="101"/>
      <c r="F33" s="137">
        <f t="shared" si="5"/>
        <v>52000</v>
      </c>
      <c r="G33" s="103">
        <v>48000</v>
      </c>
      <c r="H33" s="103">
        <v>18508.71</v>
      </c>
      <c r="I33" s="146">
        <f t="shared" si="6"/>
        <v>0.08333333333333333</v>
      </c>
    </row>
    <row r="34" spans="1:9" ht="13.5" customHeight="1">
      <c r="A34" s="99" t="s">
        <v>12</v>
      </c>
      <c r="B34" s="100">
        <v>85000</v>
      </c>
      <c r="C34" s="101">
        <v>2000</v>
      </c>
      <c r="D34" s="102">
        <v>295000</v>
      </c>
      <c r="E34" s="101"/>
      <c r="F34" s="137">
        <f t="shared" si="5"/>
        <v>382000</v>
      </c>
      <c r="G34" s="103">
        <v>292000</v>
      </c>
      <c r="H34" s="103">
        <v>106655.31</v>
      </c>
      <c r="I34" s="146">
        <f t="shared" si="6"/>
        <v>0.3082191780821918</v>
      </c>
    </row>
    <row r="35" spans="1:9" ht="13.5" customHeight="1">
      <c r="A35" s="99" t="s">
        <v>1</v>
      </c>
      <c r="B35" s="100"/>
      <c r="C35" s="101">
        <v>9000</v>
      </c>
      <c r="D35" s="102"/>
      <c r="E35" s="101"/>
      <c r="F35" s="137">
        <f t="shared" si="5"/>
        <v>9000</v>
      </c>
      <c r="G35" s="103">
        <v>29000</v>
      </c>
      <c r="H35" s="103">
        <f>1810.35+1007.82</f>
        <v>2818.17</v>
      </c>
      <c r="I35" s="146">
        <f t="shared" si="6"/>
        <v>-0.6896551724137931</v>
      </c>
    </row>
    <row r="36" spans="1:9" ht="13.5" customHeight="1">
      <c r="A36" s="99" t="s">
        <v>32</v>
      </c>
      <c r="B36" s="100">
        <v>5000</v>
      </c>
      <c r="C36" s="101">
        <v>5000</v>
      </c>
      <c r="D36" s="102"/>
      <c r="E36" s="101"/>
      <c r="F36" s="137">
        <f t="shared" si="5"/>
        <v>10000</v>
      </c>
      <c r="G36" s="103">
        <v>16000</v>
      </c>
      <c r="H36" s="103">
        <v>6729.61</v>
      </c>
      <c r="I36" s="146">
        <f t="shared" si="6"/>
        <v>-0.375</v>
      </c>
    </row>
    <row r="37" spans="1:9" ht="13.5" customHeight="1">
      <c r="A37" s="105" t="s">
        <v>211</v>
      </c>
      <c r="B37" s="106"/>
      <c r="C37" s="107"/>
      <c r="D37" s="108">
        <v>123000</v>
      </c>
      <c r="E37" s="107"/>
      <c r="F37" s="137">
        <f t="shared" si="5"/>
        <v>123000</v>
      </c>
      <c r="G37" s="103">
        <v>25000</v>
      </c>
      <c r="H37" s="109">
        <v>14854.5</v>
      </c>
      <c r="I37" s="148">
        <f t="shared" si="6"/>
        <v>3.92</v>
      </c>
    </row>
    <row r="38" spans="1:9" s="114" customFormat="1" ht="13.5" customHeight="1">
      <c r="A38" s="120" t="s">
        <v>50</v>
      </c>
      <c r="B38" s="111">
        <f>SUM(B26:B37)</f>
        <v>147000</v>
      </c>
      <c r="C38" s="112">
        <f aca="true" t="shared" si="7" ref="C38:H38">SUM(C26:C37)</f>
        <v>407000</v>
      </c>
      <c r="D38" s="113">
        <f t="shared" si="7"/>
        <v>743000</v>
      </c>
      <c r="E38" s="112">
        <f t="shared" si="7"/>
        <v>0</v>
      </c>
      <c r="F38" s="154">
        <f t="shared" si="7"/>
        <v>1297000</v>
      </c>
      <c r="G38" s="113">
        <f t="shared" si="7"/>
        <v>1168000</v>
      </c>
      <c r="H38" s="112">
        <f t="shared" si="7"/>
        <v>645949.88</v>
      </c>
      <c r="I38" s="129">
        <f t="shared" si="6"/>
        <v>0.11044520547945205</v>
      </c>
    </row>
    <row r="39" spans="2:8" s="130" customFormat="1" ht="12">
      <c r="B39" s="82"/>
      <c r="C39" s="82"/>
      <c r="D39" s="82"/>
      <c r="E39" s="82"/>
      <c r="F39" s="158"/>
      <c r="G39" s="82"/>
      <c r="H39" s="82"/>
    </row>
    <row r="40" spans="2:8" s="130" customFormat="1" ht="12">
      <c r="B40" s="82"/>
      <c r="C40" s="82"/>
      <c r="D40" s="82"/>
      <c r="E40" s="82"/>
      <c r="F40" s="158"/>
      <c r="G40" s="82"/>
      <c r="H40" s="82"/>
    </row>
    <row r="41" spans="2:8" s="130" customFormat="1" ht="12">
      <c r="B41" s="82"/>
      <c r="C41" s="82"/>
      <c r="D41" s="82"/>
      <c r="E41" s="82"/>
      <c r="F41" s="158"/>
      <c r="G41" s="82"/>
      <c r="H41" s="82"/>
    </row>
    <row r="42" spans="2:8" s="130" customFormat="1" ht="12">
      <c r="B42" s="82"/>
      <c r="C42" s="82"/>
      <c r="D42" s="82"/>
      <c r="E42" s="82"/>
      <c r="F42" s="158"/>
      <c r="G42" s="82"/>
      <c r="H42" s="82"/>
    </row>
    <row r="43" spans="1:9" ht="13.5" customHeight="1">
      <c r="A43" s="143" t="s">
        <v>79</v>
      </c>
      <c r="B43" s="151"/>
      <c r="C43" s="132"/>
      <c r="D43" s="133"/>
      <c r="E43" s="132"/>
      <c r="F43" s="159"/>
      <c r="G43" s="133"/>
      <c r="H43" s="132"/>
      <c r="I43" s="160"/>
    </row>
    <row r="44" spans="1:9" ht="13.5" customHeight="1">
      <c r="A44" s="99" t="s">
        <v>62</v>
      </c>
      <c r="B44" s="100">
        <v>70000</v>
      </c>
      <c r="C44" s="101"/>
      <c r="D44" s="102"/>
      <c r="E44" s="101"/>
      <c r="F44" s="137">
        <f>SUM(B44:E44)</f>
        <v>70000</v>
      </c>
      <c r="G44" s="103">
        <v>65000</v>
      </c>
      <c r="H44" s="103">
        <v>68068.76</v>
      </c>
      <c r="I44" s="146">
        <f>(F44-G44)/G44</f>
        <v>0.07692307692307693</v>
      </c>
    </row>
    <row r="45" spans="1:9" ht="13.5" customHeight="1">
      <c r="A45" s="99" t="s">
        <v>51</v>
      </c>
      <c r="B45" s="100"/>
      <c r="C45" s="101">
        <v>2000</v>
      </c>
      <c r="D45" s="102"/>
      <c r="E45" s="101"/>
      <c r="F45" s="137">
        <f aca="true" t="shared" si="8" ref="F45:F53">SUM(B45:E45)</f>
        <v>2000</v>
      </c>
      <c r="G45" s="103">
        <v>4000</v>
      </c>
      <c r="H45" s="103">
        <v>1943.9</v>
      </c>
      <c r="I45" s="146">
        <f aca="true" t="shared" si="9" ref="I45:I52">(F45-G45)/G45</f>
        <v>-0.5</v>
      </c>
    </row>
    <row r="46" spans="1:9" ht="13.5" customHeight="1">
      <c r="A46" s="99" t="s">
        <v>13</v>
      </c>
      <c r="B46" s="100"/>
      <c r="C46" s="101">
        <v>40000</v>
      </c>
      <c r="D46" s="102"/>
      <c r="E46" s="101"/>
      <c r="F46" s="137">
        <f t="shared" si="8"/>
        <v>40000</v>
      </c>
      <c r="G46" s="103">
        <v>35000</v>
      </c>
      <c r="H46" s="103">
        <v>36416.5</v>
      </c>
      <c r="I46" s="146">
        <f t="shared" si="9"/>
        <v>0.14285714285714285</v>
      </c>
    </row>
    <row r="47" spans="1:9" ht="13.5" customHeight="1">
      <c r="A47" s="99" t="s">
        <v>15</v>
      </c>
      <c r="B47" s="100"/>
      <c r="C47" s="101">
        <v>1000</v>
      </c>
      <c r="D47" s="102"/>
      <c r="E47" s="101"/>
      <c r="F47" s="137">
        <f t="shared" si="8"/>
        <v>1000</v>
      </c>
      <c r="G47" s="103">
        <v>1000</v>
      </c>
      <c r="H47" s="103">
        <v>0</v>
      </c>
      <c r="I47" s="146">
        <f t="shared" si="9"/>
        <v>0</v>
      </c>
    </row>
    <row r="48" spans="1:9" ht="13.5" customHeight="1">
      <c r="A48" s="99" t="s">
        <v>38</v>
      </c>
      <c r="B48" s="100">
        <v>50000</v>
      </c>
      <c r="C48" s="101">
        <v>260000</v>
      </c>
      <c r="D48" s="102"/>
      <c r="E48" s="101"/>
      <c r="F48" s="137">
        <f t="shared" si="8"/>
        <v>310000</v>
      </c>
      <c r="G48" s="103">
        <v>290000</v>
      </c>
      <c r="H48" s="103">
        <f>182274.98+130000</f>
        <v>312274.98</v>
      </c>
      <c r="I48" s="146">
        <f t="shared" si="9"/>
        <v>0.06896551724137931</v>
      </c>
    </row>
    <row r="49" spans="1:9" ht="13.5" customHeight="1">
      <c r="A49" s="99" t="s">
        <v>166</v>
      </c>
      <c r="B49" s="100">
        <v>40000</v>
      </c>
      <c r="C49" s="101">
        <v>140000</v>
      </c>
      <c r="D49" s="102"/>
      <c r="E49" s="101"/>
      <c r="F49" s="137">
        <f t="shared" si="8"/>
        <v>180000</v>
      </c>
      <c r="G49" s="103">
        <v>160000</v>
      </c>
      <c r="H49" s="103">
        <f>51146.92+130000</f>
        <v>181146.91999999998</v>
      </c>
      <c r="I49" s="146">
        <f t="shared" si="9"/>
        <v>0.125</v>
      </c>
    </row>
    <row r="50" spans="1:9" ht="13.5" customHeight="1">
      <c r="A50" s="99" t="s">
        <v>52</v>
      </c>
      <c r="B50" s="100"/>
      <c r="C50" s="101">
        <v>2000</v>
      </c>
      <c r="D50" s="102"/>
      <c r="E50" s="101"/>
      <c r="F50" s="137">
        <f t="shared" si="8"/>
        <v>2000</v>
      </c>
      <c r="G50" s="103">
        <v>5000</v>
      </c>
      <c r="H50" s="103">
        <v>0</v>
      </c>
      <c r="I50" s="146">
        <f t="shared" si="9"/>
        <v>-0.6</v>
      </c>
    </row>
    <row r="51" spans="1:9" ht="13.5" customHeight="1">
      <c r="A51" s="99" t="s">
        <v>16</v>
      </c>
      <c r="B51" s="100">
        <v>5000</v>
      </c>
      <c r="C51" s="101">
        <v>55000</v>
      </c>
      <c r="D51" s="102"/>
      <c r="E51" s="101"/>
      <c r="F51" s="137">
        <f t="shared" si="8"/>
        <v>60000</v>
      </c>
      <c r="G51" s="103">
        <v>25000</v>
      </c>
      <c r="H51" s="103">
        <v>62448.25</v>
      </c>
      <c r="I51" s="146">
        <f t="shared" si="9"/>
        <v>1.4</v>
      </c>
    </row>
    <row r="52" spans="1:9" ht="13.5" customHeight="1">
      <c r="A52" s="99" t="s">
        <v>17</v>
      </c>
      <c r="B52" s="100"/>
      <c r="C52" s="101">
        <v>15000</v>
      </c>
      <c r="D52" s="102"/>
      <c r="E52" s="101"/>
      <c r="F52" s="137">
        <f t="shared" si="8"/>
        <v>15000</v>
      </c>
      <c r="G52" s="103">
        <v>10000</v>
      </c>
      <c r="H52" s="103">
        <v>34898.58</v>
      </c>
      <c r="I52" s="146">
        <f t="shared" si="9"/>
        <v>0.5</v>
      </c>
    </row>
    <row r="53" spans="1:9" ht="13.5" customHeight="1">
      <c r="A53" s="99" t="s">
        <v>180</v>
      </c>
      <c r="B53" s="100"/>
      <c r="C53" s="101">
        <v>5500000</v>
      </c>
      <c r="D53" s="102"/>
      <c r="E53" s="101"/>
      <c r="F53" s="137">
        <f t="shared" si="8"/>
        <v>5500000</v>
      </c>
      <c r="G53" s="103">
        <v>4600000</v>
      </c>
      <c r="H53" s="103">
        <v>5376015.29</v>
      </c>
      <c r="I53" s="146">
        <f>(F53-G53)/G53</f>
        <v>0.1956521739130435</v>
      </c>
    </row>
    <row r="54" spans="1:9" ht="13.5" customHeight="1">
      <c r="A54" s="105" t="s">
        <v>18</v>
      </c>
      <c r="B54" s="106"/>
      <c r="C54" s="107"/>
      <c r="D54" s="108"/>
      <c r="E54" s="107">
        <v>11000</v>
      </c>
      <c r="F54" s="153">
        <f>SUM(B54:E54)</f>
        <v>11000</v>
      </c>
      <c r="G54" s="103">
        <v>11000</v>
      </c>
      <c r="H54" s="109">
        <v>10604.17</v>
      </c>
      <c r="I54" s="148">
        <f>(F54-G54)/G54</f>
        <v>0</v>
      </c>
    </row>
    <row r="55" spans="1:9" s="114" customFormat="1" ht="13.5" customHeight="1">
      <c r="A55" s="120" t="s">
        <v>83</v>
      </c>
      <c r="B55" s="111">
        <f>SUM(B44:B54)</f>
        <v>165000</v>
      </c>
      <c r="C55" s="112">
        <f aca="true" t="shared" si="10" ref="C55:H55">SUM(C44:C54)</f>
        <v>6015000</v>
      </c>
      <c r="D55" s="113">
        <f t="shared" si="10"/>
        <v>0</v>
      </c>
      <c r="E55" s="112">
        <f t="shared" si="10"/>
        <v>11000</v>
      </c>
      <c r="F55" s="154">
        <f t="shared" si="10"/>
        <v>6191000</v>
      </c>
      <c r="G55" s="113">
        <f t="shared" si="10"/>
        <v>5206000</v>
      </c>
      <c r="H55" s="112">
        <f t="shared" si="10"/>
        <v>6083817.35</v>
      </c>
      <c r="I55" s="129">
        <f>(F55-G55)/G55</f>
        <v>0.1892047637341529</v>
      </c>
    </row>
    <row r="56" spans="1:9" ht="7.5" customHeight="1">
      <c r="A56" s="115"/>
      <c r="B56" s="94"/>
      <c r="C56" s="95"/>
      <c r="D56" s="96"/>
      <c r="E56" s="95"/>
      <c r="F56" s="155"/>
      <c r="G56" s="96"/>
      <c r="H56" s="95"/>
      <c r="I56" s="149"/>
    </row>
    <row r="57" spans="1:9" s="114" customFormat="1" ht="13.5" customHeight="1">
      <c r="A57" s="141" t="s">
        <v>162</v>
      </c>
      <c r="B57" s="123"/>
      <c r="C57" s="124"/>
      <c r="D57" s="125"/>
      <c r="E57" s="124"/>
      <c r="F57" s="137"/>
      <c r="G57" s="125"/>
      <c r="H57" s="124"/>
      <c r="I57" s="147"/>
    </row>
    <row r="58" spans="1:9" ht="13.5" customHeight="1">
      <c r="A58" s="99" t="s">
        <v>35</v>
      </c>
      <c r="B58" s="100">
        <v>400000</v>
      </c>
      <c r="C58" s="101"/>
      <c r="D58" s="102">
        <v>410000</v>
      </c>
      <c r="E58" s="101"/>
      <c r="F58" s="137">
        <f aca="true" t="shared" si="11" ref="F58:F63">SUM(B58:E58)</f>
        <v>810000</v>
      </c>
      <c r="G58" s="103">
        <v>695000</v>
      </c>
      <c r="H58" s="103">
        <v>548587.64</v>
      </c>
      <c r="I58" s="146">
        <f aca="true" t="shared" si="12" ref="I58:I64">(F58-G58)/G58</f>
        <v>0.16546762589928057</v>
      </c>
    </row>
    <row r="59" spans="1:9" ht="13.5" customHeight="1">
      <c r="A59" s="99" t="s">
        <v>36</v>
      </c>
      <c r="B59" s="100">
        <v>610000</v>
      </c>
      <c r="C59" s="101">
        <v>1090000</v>
      </c>
      <c r="D59" s="102">
        <v>1120000</v>
      </c>
      <c r="E59" s="101">
        <v>420000</v>
      </c>
      <c r="F59" s="137">
        <f t="shared" si="11"/>
        <v>3240000</v>
      </c>
      <c r="G59" s="103">
        <v>2860000</v>
      </c>
      <c r="H59" s="103">
        <v>2437895.97</v>
      </c>
      <c r="I59" s="146">
        <f t="shared" si="12"/>
        <v>0.13286713286713286</v>
      </c>
    </row>
    <row r="60" spans="1:9" ht="13.5" customHeight="1">
      <c r="A60" s="99" t="s">
        <v>179</v>
      </c>
      <c r="B60" s="100"/>
      <c r="C60" s="101"/>
      <c r="D60" s="102"/>
      <c r="E60" s="101">
        <v>95000</v>
      </c>
      <c r="F60" s="137">
        <f t="shared" si="11"/>
        <v>95000</v>
      </c>
      <c r="G60" s="103">
        <v>80000</v>
      </c>
      <c r="H60" s="103">
        <v>82296.74</v>
      </c>
      <c r="I60" s="146">
        <f t="shared" si="12"/>
        <v>0.1875</v>
      </c>
    </row>
    <row r="61" spans="1:9" ht="13.5" customHeight="1">
      <c r="A61" s="99" t="s">
        <v>80</v>
      </c>
      <c r="B61" s="100"/>
      <c r="C61" s="101"/>
      <c r="D61" s="102"/>
      <c r="E61" s="101"/>
      <c r="F61" s="137">
        <f t="shared" si="11"/>
        <v>0</v>
      </c>
      <c r="G61" s="103"/>
      <c r="H61" s="103"/>
      <c r="I61" s="146"/>
    </row>
    <row r="62" spans="1:9" ht="13.5" customHeight="1">
      <c r="A62" s="99" t="s">
        <v>81</v>
      </c>
      <c r="B62" s="100">
        <v>260000</v>
      </c>
      <c r="C62" s="101">
        <v>280000</v>
      </c>
      <c r="D62" s="102">
        <v>400000</v>
      </c>
      <c r="E62" s="101">
        <v>85000</v>
      </c>
      <c r="F62" s="137">
        <f t="shared" si="11"/>
        <v>1025000</v>
      </c>
      <c r="G62" s="103">
        <v>995000</v>
      </c>
      <c r="H62" s="103">
        <v>809868.69</v>
      </c>
      <c r="I62" s="146">
        <f t="shared" si="12"/>
        <v>0.03015075376884422</v>
      </c>
    </row>
    <row r="63" spans="1:9" ht="13.5" customHeight="1">
      <c r="A63" s="105" t="s">
        <v>54</v>
      </c>
      <c r="B63" s="106"/>
      <c r="C63" s="107"/>
      <c r="D63" s="108"/>
      <c r="E63" s="107">
        <v>8000</v>
      </c>
      <c r="F63" s="137">
        <f t="shared" si="11"/>
        <v>8000</v>
      </c>
      <c r="G63" s="103">
        <v>8000</v>
      </c>
      <c r="H63" s="109">
        <v>4345.51</v>
      </c>
      <c r="I63" s="148">
        <f>(F63-G63)/G63</f>
        <v>0</v>
      </c>
    </row>
    <row r="64" spans="1:9" s="114" customFormat="1" ht="13.5" customHeight="1">
      <c r="A64" s="120" t="s">
        <v>55</v>
      </c>
      <c r="B64" s="111">
        <f>SUM(B58:B60,B62,B63)</f>
        <v>1270000</v>
      </c>
      <c r="C64" s="112">
        <f aca="true" t="shared" si="13" ref="C64:H64">SUM(C58:C60,C62,C63)</f>
        <v>1370000</v>
      </c>
      <c r="D64" s="113">
        <f t="shared" si="13"/>
        <v>1930000</v>
      </c>
      <c r="E64" s="112">
        <f t="shared" si="13"/>
        <v>608000</v>
      </c>
      <c r="F64" s="154">
        <f t="shared" si="13"/>
        <v>5178000</v>
      </c>
      <c r="G64" s="113">
        <f t="shared" si="13"/>
        <v>4638000</v>
      </c>
      <c r="H64" s="112">
        <f t="shared" si="13"/>
        <v>3882994.5500000003</v>
      </c>
      <c r="I64" s="129">
        <f t="shared" si="12"/>
        <v>0.11642949547218628</v>
      </c>
    </row>
    <row r="65" spans="1:9" ht="7.5" customHeight="1">
      <c r="A65" s="115"/>
      <c r="B65" s="94"/>
      <c r="C65" s="95"/>
      <c r="D65" s="96"/>
      <c r="E65" s="95"/>
      <c r="F65" s="155"/>
      <c r="G65" s="96"/>
      <c r="H65" s="95"/>
      <c r="I65" s="149"/>
    </row>
    <row r="66" spans="1:9" s="114" customFormat="1" ht="13.5" customHeight="1">
      <c r="A66" s="116" t="s">
        <v>19</v>
      </c>
      <c r="B66" s="123"/>
      <c r="C66" s="124"/>
      <c r="D66" s="125"/>
      <c r="E66" s="124"/>
      <c r="F66" s="137"/>
      <c r="G66" s="125"/>
      <c r="H66" s="124"/>
      <c r="I66" s="147"/>
    </row>
    <row r="67" spans="1:9" ht="13.5" customHeight="1">
      <c r="A67" s="99" t="s">
        <v>56</v>
      </c>
      <c r="B67" s="100"/>
      <c r="C67" s="101"/>
      <c r="D67" s="102"/>
      <c r="E67" s="101"/>
      <c r="F67" s="137"/>
      <c r="G67" s="102"/>
      <c r="H67" s="101"/>
      <c r="I67" s="134"/>
    </row>
    <row r="68" spans="1:9" ht="13.5" customHeight="1">
      <c r="A68" s="105" t="s">
        <v>57</v>
      </c>
      <c r="B68" s="106">
        <f>256000-62000</f>
        <v>194000</v>
      </c>
      <c r="C68" s="107">
        <v>22000</v>
      </c>
      <c r="D68" s="108">
        <v>5000</v>
      </c>
      <c r="E68" s="107">
        <v>35000</v>
      </c>
      <c r="F68" s="153">
        <f>SUM(B68:E68)</f>
        <v>256000</v>
      </c>
      <c r="G68" s="103">
        <v>242000</v>
      </c>
      <c r="H68" s="109">
        <v>253746.9</v>
      </c>
      <c r="I68" s="148">
        <f>(F68-G68)/G68</f>
        <v>0.05785123966942149</v>
      </c>
    </row>
    <row r="69" spans="1:9" s="114" customFormat="1" ht="13.5" customHeight="1">
      <c r="A69" s="120" t="s">
        <v>58</v>
      </c>
      <c r="B69" s="112">
        <f aca="true" t="shared" si="14" ref="B69:H69">SUM(B68)</f>
        <v>194000</v>
      </c>
      <c r="C69" s="112">
        <f t="shared" si="14"/>
        <v>22000</v>
      </c>
      <c r="D69" s="113">
        <f t="shared" si="14"/>
        <v>5000</v>
      </c>
      <c r="E69" s="112">
        <f t="shared" si="14"/>
        <v>35000</v>
      </c>
      <c r="F69" s="154">
        <f t="shared" si="14"/>
        <v>256000</v>
      </c>
      <c r="G69" s="113">
        <f t="shared" si="14"/>
        <v>242000</v>
      </c>
      <c r="H69" s="112">
        <f t="shared" si="14"/>
        <v>253746.9</v>
      </c>
      <c r="I69" s="129">
        <f>(F69-G69)/G69</f>
        <v>0.05785123966942149</v>
      </c>
    </row>
    <row r="70" spans="1:9" ht="7.5" customHeight="1">
      <c r="A70" s="115"/>
      <c r="B70" s="94"/>
      <c r="C70" s="95"/>
      <c r="D70" s="96"/>
      <c r="E70" s="95"/>
      <c r="F70" s="155"/>
      <c r="G70" s="96"/>
      <c r="H70" s="95"/>
      <c r="I70" s="149"/>
    </row>
    <row r="71" spans="1:9" s="114" customFormat="1" ht="13.5" customHeight="1">
      <c r="A71" s="116" t="s">
        <v>84</v>
      </c>
      <c r="B71" s="123"/>
      <c r="C71" s="124"/>
      <c r="D71" s="125"/>
      <c r="E71" s="124"/>
      <c r="F71" s="137"/>
      <c r="G71" s="125"/>
      <c r="H71" s="124"/>
      <c r="I71" s="147"/>
    </row>
    <row r="72" spans="1:9" ht="13.5" customHeight="1">
      <c r="A72" s="105" t="s">
        <v>59</v>
      </c>
      <c r="B72" s="106">
        <v>40000</v>
      </c>
      <c r="C72" s="107">
        <v>12000</v>
      </c>
      <c r="D72" s="108">
        <v>18000</v>
      </c>
      <c r="E72" s="107">
        <v>13000</v>
      </c>
      <c r="F72" s="153">
        <f>SUM(B72:E72)</f>
        <v>83000</v>
      </c>
      <c r="G72" s="103">
        <v>91000</v>
      </c>
      <c r="H72" s="109">
        <v>81594.74</v>
      </c>
      <c r="I72" s="148">
        <f>(F72-G72)/G72</f>
        <v>-0.08791208791208792</v>
      </c>
    </row>
    <row r="73" spans="1:9" s="114" customFormat="1" ht="13.5" customHeight="1">
      <c r="A73" s="120" t="s">
        <v>60</v>
      </c>
      <c r="B73" s="111">
        <f>SUM(B72)</f>
        <v>40000</v>
      </c>
      <c r="C73" s="112">
        <f aca="true" t="shared" si="15" ref="C73:H73">SUM(C72)</f>
        <v>12000</v>
      </c>
      <c r="D73" s="113">
        <f t="shared" si="15"/>
        <v>18000</v>
      </c>
      <c r="E73" s="112">
        <f t="shared" si="15"/>
        <v>13000</v>
      </c>
      <c r="F73" s="154">
        <f t="shared" si="15"/>
        <v>83000</v>
      </c>
      <c r="G73" s="113">
        <f t="shared" si="15"/>
        <v>91000</v>
      </c>
      <c r="H73" s="112">
        <f t="shared" si="15"/>
        <v>81594.74</v>
      </c>
      <c r="I73" s="129">
        <f>(F73-G73)/G73</f>
        <v>-0.08791208791208792</v>
      </c>
    </row>
    <row r="74" spans="1:9" ht="7.5" customHeight="1">
      <c r="A74" s="115"/>
      <c r="B74" s="94"/>
      <c r="C74" s="95"/>
      <c r="D74" s="96"/>
      <c r="E74" s="95"/>
      <c r="F74" s="155"/>
      <c r="G74" s="96"/>
      <c r="H74" s="95"/>
      <c r="I74" s="149"/>
    </row>
    <row r="75" spans="1:9" s="114" customFormat="1" ht="13.5" customHeight="1">
      <c r="A75" s="116" t="s">
        <v>61</v>
      </c>
      <c r="B75" s="123"/>
      <c r="C75" s="124"/>
      <c r="D75" s="125"/>
      <c r="E75" s="124"/>
      <c r="F75" s="137"/>
      <c r="G75" s="125"/>
      <c r="H75" s="124"/>
      <c r="I75" s="147"/>
    </row>
    <row r="76" spans="1:9" ht="13.5" customHeight="1">
      <c r="A76" s="140" t="s">
        <v>171</v>
      </c>
      <c r="B76" s="100">
        <v>0</v>
      </c>
      <c r="C76" s="101">
        <v>491000</v>
      </c>
      <c r="D76" s="102">
        <v>424000</v>
      </c>
      <c r="E76" s="101">
        <v>70000</v>
      </c>
      <c r="F76" s="137">
        <f aca="true" t="shared" si="16" ref="F76:F115">SUM(B76:E76)</f>
        <v>985000</v>
      </c>
      <c r="G76" s="103">
        <v>1043000</v>
      </c>
      <c r="H76" s="103">
        <f>1245107.11-H77</f>
        <v>1017316.8200000001</v>
      </c>
      <c r="I76" s="146">
        <f>(F76-G76)/G76</f>
        <v>-0.05560882070949185</v>
      </c>
    </row>
    <row r="77" spans="1:9" ht="13.5" customHeight="1">
      <c r="A77" s="140" t="s">
        <v>163</v>
      </c>
      <c r="B77" s="100"/>
      <c r="C77" s="101">
        <v>71000</v>
      </c>
      <c r="D77" s="102">
        <v>91000</v>
      </c>
      <c r="E77" s="101"/>
      <c r="F77" s="137">
        <f t="shared" si="16"/>
        <v>162000</v>
      </c>
      <c r="G77" s="103">
        <v>252000</v>
      </c>
      <c r="H77" s="103">
        <v>227790.29</v>
      </c>
      <c r="I77" s="146">
        <f>(F77-G77)/G77</f>
        <v>-0.35714285714285715</v>
      </c>
    </row>
    <row r="78" spans="1:9" ht="13.5" customHeight="1">
      <c r="A78" s="99" t="s">
        <v>20</v>
      </c>
      <c r="B78" s="100"/>
      <c r="C78" s="101">
        <v>90000</v>
      </c>
      <c r="D78" s="102"/>
      <c r="E78" s="101"/>
      <c r="F78" s="137">
        <f t="shared" si="16"/>
        <v>90000</v>
      </c>
      <c r="G78" s="103">
        <v>79000</v>
      </c>
      <c r="H78" s="103">
        <v>90966.1</v>
      </c>
      <c r="I78" s="146">
        <f aca="true" t="shared" si="17" ref="I78:I84">(F78-G78)/G78</f>
        <v>0.13924050632911392</v>
      </c>
    </row>
    <row r="79" spans="1:9" ht="13.5" customHeight="1">
      <c r="A79" s="99" t="s">
        <v>21</v>
      </c>
      <c r="B79" s="100">
        <v>3000</v>
      </c>
      <c r="C79" s="101">
        <v>40000</v>
      </c>
      <c r="D79" s="102">
        <v>3000</v>
      </c>
      <c r="E79" s="101"/>
      <c r="F79" s="137">
        <f t="shared" si="16"/>
        <v>46000</v>
      </c>
      <c r="G79" s="103">
        <v>39000</v>
      </c>
      <c r="H79" s="103">
        <v>43370.62</v>
      </c>
      <c r="I79" s="146">
        <f t="shared" si="17"/>
        <v>0.1794871794871795</v>
      </c>
    </row>
    <row r="80" spans="1:9" ht="13.5" customHeight="1">
      <c r="A80" s="99" t="s">
        <v>64</v>
      </c>
      <c r="B80" s="100">
        <v>10000</v>
      </c>
      <c r="C80" s="101">
        <v>40000</v>
      </c>
      <c r="D80" s="102">
        <v>8000</v>
      </c>
      <c r="E80" s="101"/>
      <c r="F80" s="137">
        <f t="shared" si="16"/>
        <v>58000</v>
      </c>
      <c r="G80" s="103">
        <v>53000</v>
      </c>
      <c r="H80" s="103">
        <v>47118.4</v>
      </c>
      <c r="I80" s="146">
        <f t="shared" si="17"/>
        <v>0.09433962264150944</v>
      </c>
    </row>
    <row r="81" spans="1:9" ht="13.5" customHeight="1">
      <c r="A81" s="99" t="s">
        <v>22</v>
      </c>
      <c r="B81" s="100">
        <v>12000</v>
      </c>
      <c r="C81" s="101">
        <v>73000</v>
      </c>
      <c r="D81" s="102">
        <v>5000</v>
      </c>
      <c r="E81" s="101"/>
      <c r="F81" s="137">
        <f t="shared" si="16"/>
        <v>90000</v>
      </c>
      <c r="G81" s="103">
        <v>85000</v>
      </c>
      <c r="H81" s="103">
        <v>67075.42</v>
      </c>
      <c r="I81" s="146">
        <f t="shared" si="17"/>
        <v>0.058823529411764705</v>
      </c>
    </row>
    <row r="82" spans="1:9" ht="13.5" customHeight="1">
      <c r="A82" s="99" t="s">
        <v>65</v>
      </c>
      <c r="B82" s="100"/>
      <c r="C82" s="101">
        <v>33000</v>
      </c>
      <c r="D82" s="102"/>
      <c r="E82" s="101"/>
      <c r="F82" s="137">
        <f t="shared" si="16"/>
        <v>33000</v>
      </c>
      <c r="G82" s="103">
        <v>33000</v>
      </c>
      <c r="H82" s="103">
        <v>33000</v>
      </c>
      <c r="I82" s="146">
        <f t="shared" si="17"/>
        <v>0</v>
      </c>
    </row>
    <row r="83" spans="1:9" ht="13.5" customHeight="1">
      <c r="A83" s="99" t="s">
        <v>66</v>
      </c>
      <c r="B83" s="100">
        <v>30000</v>
      </c>
      <c r="C83" s="101">
        <v>240000</v>
      </c>
      <c r="D83" s="102"/>
      <c r="E83" s="101"/>
      <c r="F83" s="137">
        <f t="shared" si="16"/>
        <v>270000</v>
      </c>
      <c r="G83" s="103">
        <v>215000</v>
      </c>
      <c r="H83" s="103">
        <f>122186.41+150000</f>
        <v>272186.41000000003</v>
      </c>
      <c r="I83" s="146">
        <f t="shared" si="17"/>
        <v>0.2558139534883721</v>
      </c>
    </row>
    <row r="84" spans="1:9" ht="13.5" customHeight="1">
      <c r="A84" s="99" t="s">
        <v>14</v>
      </c>
      <c r="B84" s="100">
        <v>3000</v>
      </c>
      <c r="C84" s="101">
        <v>22000</v>
      </c>
      <c r="D84" s="102"/>
      <c r="E84" s="101"/>
      <c r="F84" s="137">
        <f t="shared" si="16"/>
        <v>25000</v>
      </c>
      <c r="G84" s="103">
        <v>23000</v>
      </c>
      <c r="H84" s="103">
        <v>25356.17</v>
      </c>
      <c r="I84" s="146">
        <f t="shared" si="17"/>
        <v>0.08695652173913043</v>
      </c>
    </row>
    <row r="85" spans="1:9" ht="13.5" customHeight="1">
      <c r="A85" s="99" t="s">
        <v>67</v>
      </c>
      <c r="B85" s="100">
        <v>5000</v>
      </c>
      <c r="C85" s="101">
        <v>29000</v>
      </c>
      <c r="D85" s="102"/>
      <c r="E85" s="101"/>
      <c r="F85" s="137">
        <f t="shared" si="16"/>
        <v>34000</v>
      </c>
      <c r="G85" s="103">
        <v>50000</v>
      </c>
      <c r="H85" s="103">
        <v>34631.97</v>
      </c>
      <c r="I85" s="146">
        <f>(F85-G85)/G85</f>
        <v>-0.32</v>
      </c>
    </row>
    <row r="86" spans="1:9" ht="13.5" customHeight="1">
      <c r="A86" s="99" t="s">
        <v>167</v>
      </c>
      <c r="B86" s="100"/>
      <c r="C86" s="101">
        <v>270000</v>
      </c>
      <c r="D86" s="102"/>
      <c r="E86" s="101"/>
      <c r="F86" s="137">
        <f t="shared" si="16"/>
        <v>270000</v>
      </c>
      <c r="G86" s="103">
        <v>260000</v>
      </c>
      <c r="H86" s="103">
        <f>188500+84536.27</f>
        <v>273036.27</v>
      </c>
      <c r="I86" s="146">
        <f>(F86-G86)/G86</f>
        <v>0.038461538461538464</v>
      </c>
    </row>
    <row r="87" spans="1:9" ht="13.5" customHeight="1">
      <c r="A87" s="99" t="s">
        <v>23</v>
      </c>
      <c r="B87" s="100"/>
      <c r="C87" s="101">
        <v>2000</v>
      </c>
      <c r="D87" s="102"/>
      <c r="E87" s="101"/>
      <c r="F87" s="137">
        <f t="shared" si="16"/>
        <v>2000</v>
      </c>
      <c r="G87" s="103">
        <v>2000</v>
      </c>
      <c r="H87" s="103">
        <v>2188</v>
      </c>
      <c r="I87" s="146">
        <f>(F87-G87)/G87</f>
        <v>0</v>
      </c>
    </row>
    <row r="88" spans="1:9" ht="13.5" customHeight="1">
      <c r="A88" s="99" t="s">
        <v>24</v>
      </c>
      <c r="B88" s="100"/>
      <c r="C88" s="101">
        <v>3000</v>
      </c>
      <c r="D88" s="102"/>
      <c r="E88" s="101"/>
      <c r="F88" s="137">
        <f t="shared" si="16"/>
        <v>3000</v>
      </c>
      <c r="G88" s="103">
        <v>4000</v>
      </c>
      <c r="H88" s="103">
        <v>3667</v>
      </c>
      <c r="I88" s="146">
        <f aca="true" t="shared" si="18" ref="I88:I105">(F88-G88)/G88</f>
        <v>-0.25</v>
      </c>
    </row>
    <row r="89" spans="1:9" ht="13.5" customHeight="1">
      <c r="A89" s="99" t="s">
        <v>25</v>
      </c>
      <c r="B89" s="100"/>
      <c r="C89" s="101">
        <v>30000</v>
      </c>
      <c r="D89" s="102"/>
      <c r="E89" s="101"/>
      <c r="F89" s="137">
        <f t="shared" si="16"/>
        <v>30000</v>
      </c>
      <c r="G89" s="103">
        <v>5000</v>
      </c>
      <c r="H89" s="103">
        <v>27184</v>
      </c>
      <c r="I89" s="146">
        <f t="shared" si="18"/>
        <v>5</v>
      </c>
    </row>
    <row r="90" spans="1:9" ht="13.5" customHeight="1">
      <c r="A90" s="99" t="s">
        <v>178</v>
      </c>
      <c r="B90" s="100"/>
      <c r="C90" s="101">
        <v>30000</v>
      </c>
      <c r="D90" s="102"/>
      <c r="E90" s="101"/>
      <c r="F90" s="137">
        <f t="shared" si="16"/>
        <v>30000</v>
      </c>
      <c r="G90" s="103">
        <v>30000</v>
      </c>
      <c r="H90" s="103">
        <v>35000</v>
      </c>
      <c r="I90" s="146">
        <f t="shared" si="18"/>
        <v>0</v>
      </c>
    </row>
    <row r="91" spans="1:9" ht="13.5" customHeight="1">
      <c r="A91" s="99" t="s">
        <v>26</v>
      </c>
      <c r="B91" s="100"/>
      <c r="C91" s="101">
        <v>1000</v>
      </c>
      <c r="D91" s="102"/>
      <c r="E91" s="101"/>
      <c r="F91" s="137">
        <f t="shared" si="16"/>
        <v>1000</v>
      </c>
      <c r="G91" s="103">
        <v>1000</v>
      </c>
      <c r="H91" s="103">
        <v>0</v>
      </c>
      <c r="I91" s="146">
        <f t="shared" si="18"/>
        <v>0</v>
      </c>
    </row>
    <row r="92" spans="1:9" ht="13.5" customHeight="1">
      <c r="A92" s="99" t="s">
        <v>27</v>
      </c>
      <c r="B92" s="100">
        <v>5000</v>
      </c>
      <c r="C92" s="101">
        <v>25000</v>
      </c>
      <c r="D92" s="102"/>
      <c r="E92" s="101"/>
      <c r="F92" s="137">
        <f t="shared" si="16"/>
        <v>30000</v>
      </c>
      <c r="G92" s="103">
        <v>25000</v>
      </c>
      <c r="H92" s="103">
        <v>29918.88</v>
      </c>
      <c r="I92" s="146">
        <f t="shared" si="18"/>
        <v>0.2</v>
      </c>
    </row>
    <row r="93" spans="1:9" ht="13.5" customHeight="1">
      <c r="A93" s="99" t="s">
        <v>28</v>
      </c>
      <c r="B93" s="100"/>
      <c r="C93" s="101">
        <v>10000</v>
      </c>
      <c r="D93" s="102"/>
      <c r="E93" s="101"/>
      <c r="F93" s="137">
        <f t="shared" si="16"/>
        <v>10000</v>
      </c>
      <c r="G93" s="103">
        <v>10000</v>
      </c>
      <c r="H93" s="103">
        <v>11891.69</v>
      </c>
      <c r="I93" s="146">
        <f t="shared" si="18"/>
        <v>0</v>
      </c>
    </row>
    <row r="94" spans="1:9" ht="13.5" customHeight="1">
      <c r="A94" s="99" t="s">
        <v>30</v>
      </c>
      <c r="B94" s="100"/>
      <c r="C94" s="101">
        <v>170000</v>
      </c>
      <c r="D94" s="102"/>
      <c r="E94" s="101"/>
      <c r="F94" s="137">
        <f t="shared" si="16"/>
        <v>170000</v>
      </c>
      <c r="G94" s="103">
        <v>170000</v>
      </c>
      <c r="H94" s="103">
        <v>167989.62</v>
      </c>
      <c r="I94" s="146">
        <f t="shared" si="18"/>
        <v>0</v>
      </c>
    </row>
    <row r="95" spans="1:9" ht="13.5" customHeight="1">
      <c r="A95" s="99" t="s">
        <v>68</v>
      </c>
      <c r="B95" s="123"/>
      <c r="C95" s="101">
        <v>60000</v>
      </c>
      <c r="D95" s="102"/>
      <c r="E95" s="101"/>
      <c r="F95" s="137">
        <f t="shared" si="16"/>
        <v>60000</v>
      </c>
      <c r="G95" s="103">
        <v>60000</v>
      </c>
      <c r="H95" s="103">
        <v>64000</v>
      </c>
      <c r="I95" s="146">
        <f t="shared" si="18"/>
        <v>0</v>
      </c>
    </row>
    <row r="96" spans="1:9" ht="13.5" customHeight="1">
      <c r="A96" s="99" t="s">
        <v>168</v>
      </c>
      <c r="B96" s="100"/>
      <c r="C96" s="101">
        <v>10000</v>
      </c>
      <c r="D96" s="102"/>
      <c r="E96" s="101"/>
      <c r="F96" s="137">
        <f t="shared" si="16"/>
        <v>10000</v>
      </c>
      <c r="G96" s="103">
        <v>10000</v>
      </c>
      <c r="H96" s="103">
        <v>9000.4</v>
      </c>
      <c r="I96" s="146">
        <f t="shared" si="18"/>
        <v>0</v>
      </c>
    </row>
    <row r="97" spans="1:9" ht="12">
      <c r="A97" s="99" t="s">
        <v>175</v>
      </c>
      <c r="B97" s="100"/>
      <c r="C97" s="101">
        <v>10000</v>
      </c>
      <c r="D97" s="102"/>
      <c r="E97" s="101"/>
      <c r="F97" s="137">
        <f t="shared" si="16"/>
        <v>10000</v>
      </c>
      <c r="G97" s="103">
        <v>8000</v>
      </c>
      <c r="H97" s="103">
        <f>13662.4+11333.33</f>
        <v>24995.73</v>
      </c>
      <c r="I97" s="146">
        <f t="shared" si="18"/>
        <v>0.25</v>
      </c>
    </row>
    <row r="98" spans="1:9" ht="13.5" customHeight="1">
      <c r="A98" s="99" t="s">
        <v>169</v>
      </c>
      <c r="B98" s="100"/>
      <c r="C98" s="101">
        <v>15000</v>
      </c>
      <c r="D98" s="102"/>
      <c r="E98" s="101"/>
      <c r="F98" s="137">
        <f t="shared" si="16"/>
        <v>15000</v>
      </c>
      <c r="G98" s="103">
        <v>8000</v>
      </c>
      <c r="H98" s="103">
        <v>15452.15</v>
      </c>
      <c r="I98" s="146">
        <f t="shared" si="18"/>
        <v>0.875</v>
      </c>
    </row>
    <row r="99" spans="1:9" ht="13.5" customHeight="1">
      <c r="A99" s="99" t="s">
        <v>181</v>
      </c>
      <c r="B99" s="100"/>
      <c r="C99" s="101">
        <v>75000</v>
      </c>
      <c r="D99" s="102"/>
      <c r="E99" s="101"/>
      <c r="F99" s="137">
        <f t="shared" si="16"/>
        <v>75000</v>
      </c>
      <c r="G99" s="103">
        <v>75000</v>
      </c>
      <c r="H99" s="103">
        <f>50378.17+16927.44</f>
        <v>67305.61</v>
      </c>
      <c r="I99" s="146">
        <f t="shared" si="18"/>
        <v>0</v>
      </c>
    </row>
    <row r="100" spans="1:9" ht="13.5" customHeight="1">
      <c r="A100" s="185" t="s">
        <v>218</v>
      </c>
      <c r="B100" s="100"/>
      <c r="C100" s="101">
        <v>900000</v>
      </c>
      <c r="D100" s="102"/>
      <c r="E100" s="101"/>
      <c r="F100" s="137">
        <f t="shared" si="16"/>
        <v>900000</v>
      </c>
      <c r="G100" s="103">
        <v>0</v>
      </c>
      <c r="H100" s="103">
        <f>552940+128820.68+64902.84</f>
        <v>746663.5199999999</v>
      </c>
      <c r="I100" s="146"/>
    </row>
    <row r="101" spans="1:9" ht="13.5" customHeight="1">
      <c r="A101" s="185" t="s">
        <v>215</v>
      </c>
      <c r="B101" s="100"/>
      <c r="C101" s="101">
        <v>150000</v>
      </c>
      <c r="D101" s="102"/>
      <c r="E101" s="101"/>
      <c r="F101" s="137">
        <f t="shared" si="16"/>
        <v>150000</v>
      </c>
      <c r="G101" s="103">
        <v>100000</v>
      </c>
      <c r="H101" s="103">
        <v>0</v>
      </c>
      <c r="I101" s="146">
        <f t="shared" si="18"/>
        <v>0.5</v>
      </c>
    </row>
    <row r="102" spans="1:9" ht="13.5" customHeight="1">
      <c r="A102" s="185" t="s">
        <v>216</v>
      </c>
      <c r="B102" s="100"/>
      <c r="C102" s="101">
        <v>100000</v>
      </c>
      <c r="D102" s="102"/>
      <c r="E102" s="101"/>
      <c r="F102" s="137">
        <f t="shared" si="16"/>
        <v>100000</v>
      </c>
      <c r="G102" s="103">
        <v>0</v>
      </c>
      <c r="H102" s="103">
        <v>0</v>
      </c>
      <c r="I102" s="146"/>
    </row>
    <row r="103" spans="1:9" ht="13.5" customHeight="1">
      <c r="A103" s="185" t="s">
        <v>212</v>
      </c>
      <c r="B103" s="100"/>
      <c r="C103" s="101"/>
      <c r="D103" s="102">
        <v>125000</v>
      </c>
      <c r="E103" s="101"/>
      <c r="F103" s="137">
        <f t="shared" si="16"/>
        <v>125000</v>
      </c>
      <c r="G103" s="103">
        <v>150000</v>
      </c>
      <c r="H103" s="103">
        <v>0</v>
      </c>
      <c r="I103" s="146">
        <f t="shared" si="18"/>
        <v>-0.16666666666666666</v>
      </c>
    </row>
    <row r="104" spans="1:9" ht="13.5" customHeight="1">
      <c r="A104" s="99" t="s">
        <v>39</v>
      </c>
      <c r="B104" s="100"/>
      <c r="C104" s="101">
        <v>180000</v>
      </c>
      <c r="D104" s="102"/>
      <c r="E104" s="101"/>
      <c r="F104" s="137">
        <f t="shared" si="16"/>
        <v>180000</v>
      </c>
      <c r="G104" s="103">
        <v>160000</v>
      </c>
      <c r="H104" s="103">
        <f>191352.29+24684.8</f>
        <v>216037.09</v>
      </c>
      <c r="I104" s="146">
        <f t="shared" si="18"/>
        <v>0.125</v>
      </c>
    </row>
    <row r="105" spans="1:9" ht="13.5" customHeight="1">
      <c r="A105" s="99" t="s">
        <v>29</v>
      </c>
      <c r="B105" s="100">
        <v>14000</v>
      </c>
      <c r="C105" s="101">
        <v>16000</v>
      </c>
      <c r="D105" s="102"/>
      <c r="E105" s="101"/>
      <c r="F105" s="137">
        <f t="shared" si="16"/>
        <v>30000</v>
      </c>
      <c r="G105" s="103">
        <v>30000</v>
      </c>
      <c r="H105" s="103">
        <v>30065.96</v>
      </c>
      <c r="I105" s="146">
        <f t="shared" si="18"/>
        <v>0</v>
      </c>
    </row>
    <row r="106" spans="1:9" ht="13.5" customHeight="1">
      <c r="A106" s="99" t="s">
        <v>41</v>
      </c>
      <c r="B106" s="100">
        <v>240000</v>
      </c>
      <c r="C106" s="101"/>
      <c r="D106" s="102"/>
      <c r="E106" s="101"/>
      <c r="F106" s="137">
        <f t="shared" si="16"/>
        <v>240000</v>
      </c>
      <c r="G106" s="103">
        <v>180000</v>
      </c>
      <c r="H106" s="103">
        <f>6655.11+212251.59+36763.37+100000</f>
        <v>355670.06999999995</v>
      </c>
      <c r="I106" s="146">
        <f>(F106-G106)/G106</f>
        <v>0.3333333333333333</v>
      </c>
    </row>
    <row r="107" spans="1:9" ht="13.5" customHeight="1">
      <c r="A107" s="99" t="s">
        <v>204</v>
      </c>
      <c r="B107" s="100">
        <v>680000</v>
      </c>
      <c r="C107" s="101">
        <v>20000</v>
      </c>
      <c r="D107" s="102">
        <v>330000</v>
      </c>
      <c r="E107" s="101">
        <v>10000</v>
      </c>
      <c r="F107" s="137">
        <f t="shared" si="16"/>
        <v>1040000</v>
      </c>
      <c r="G107" s="103">
        <v>1020000</v>
      </c>
      <c r="H107" s="103">
        <f>87460.73+692536.03+30283.82+118881.5+666.68+50000</f>
        <v>979828.76</v>
      </c>
      <c r="I107" s="146">
        <f>(F107-G107)/G107</f>
        <v>0.0196078431372549</v>
      </c>
    </row>
    <row r="108" spans="1:9" ht="13.5" customHeight="1">
      <c r="A108" s="99" t="s">
        <v>69</v>
      </c>
      <c r="B108" s="100">
        <v>8000</v>
      </c>
      <c r="C108" s="101">
        <v>72000</v>
      </c>
      <c r="D108" s="102"/>
      <c r="E108" s="101"/>
      <c r="F108" s="137">
        <f t="shared" si="16"/>
        <v>80000</v>
      </c>
      <c r="G108" s="103">
        <v>77000</v>
      </c>
      <c r="H108" s="103">
        <v>79627.01</v>
      </c>
      <c r="I108" s="146">
        <f aca="true" t="shared" si="19" ref="I108:I114">(F108-G108)/G108</f>
        <v>0.03896103896103896</v>
      </c>
    </row>
    <row r="109" spans="1:9" ht="13.5" customHeight="1">
      <c r="A109" s="99" t="s">
        <v>70</v>
      </c>
      <c r="B109" s="100">
        <v>35000</v>
      </c>
      <c r="C109" s="101">
        <v>7000</v>
      </c>
      <c r="D109" s="102">
        <v>28000</v>
      </c>
      <c r="E109" s="101">
        <v>15000</v>
      </c>
      <c r="F109" s="137">
        <f t="shared" si="16"/>
        <v>85000</v>
      </c>
      <c r="G109" s="103">
        <v>94000</v>
      </c>
      <c r="H109" s="103">
        <v>64767.91</v>
      </c>
      <c r="I109" s="146">
        <f t="shared" si="19"/>
        <v>-0.09574468085106383</v>
      </c>
    </row>
    <row r="110" spans="1:9" ht="13.5" customHeight="1">
      <c r="A110" s="99" t="s">
        <v>172</v>
      </c>
      <c r="B110" s="100"/>
      <c r="C110" s="101"/>
      <c r="D110" s="102">
        <v>10000</v>
      </c>
      <c r="E110" s="101">
        <v>27000</v>
      </c>
      <c r="F110" s="137">
        <f t="shared" si="16"/>
        <v>37000</v>
      </c>
      <c r="G110" s="103">
        <v>49000</v>
      </c>
      <c r="H110" s="103">
        <v>59646.79</v>
      </c>
      <c r="I110" s="146">
        <f t="shared" si="19"/>
        <v>-0.24489795918367346</v>
      </c>
    </row>
    <row r="111" spans="1:9" ht="13.5" customHeight="1">
      <c r="A111" s="105" t="s">
        <v>71</v>
      </c>
      <c r="B111" s="106">
        <v>25000</v>
      </c>
      <c r="C111" s="106">
        <v>20000</v>
      </c>
      <c r="D111" s="106">
        <v>40000</v>
      </c>
      <c r="E111" s="106">
        <v>20000</v>
      </c>
      <c r="F111" s="170">
        <f t="shared" si="16"/>
        <v>105000</v>
      </c>
      <c r="G111" s="103">
        <v>86000</v>
      </c>
      <c r="H111" s="109">
        <f>10099.98+42301.06+54.17+3892.07+65858.14+0.07-3388.85</f>
        <v>118816.63999999998</v>
      </c>
      <c r="I111" s="148">
        <f t="shared" si="19"/>
        <v>0.22093023255813954</v>
      </c>
    </row>
    <row r="112" spans="1:9" s="114" customFormat="1" ht="13.5" customHeight="1">
      <c r="A112" s="120" t="s">
        <v>72</v>
      </c>
      <c r="B112" s="111">
        <f aca="true" t="shared" si="20" ref="B112:H112">SUM(B76:B111)</f>
        <v>1070000</v>
      </c>
      <c r="C112" s="112">
        <f t="shared" si="20"/>
        <v>3305000</v>
      </c>
      <c r="D112" s="113">
        <f t="shared" si="20"/>
        <v>1064000</v>
      </c>
      <c r="E112" s="112">
        <f t="shared" si="20"/>
        <v>142000</v>
      </c>
      <c r="F112" s="154">
        <f t="shared" si="20"/>
        <v>5581000</v>
      </c>
      <c r="G112" s="113">
        <f t="shared" si="20"/>
        <v>4486000</v>
      </c>
      <c r="H112" s="112">
        <f t="shared" si="20"/>
        <v>5241565.299999999</v>
      </c>
      <c r="I112" s="129">
        <f t="shared" si="19"/>
        <v>0.24409273294694606</v>
      </c>
    </row>
    <row r="113" spans="1:9" ht="7.5" customHeight="1">
      <c r="A113" s="115"/>
      <c r="B113" s="94"/>
      <c r="C113" s="95"/>
      <c r="D113" s="96"/>
      <c r="E113" s="95"/>
      <c r="F113" s="155"/>
      <c r="G113" s="96"/>
      <c r="H113" s="95"/>
      <c r="I113" s="149"/>
    </row>
    <row r="114" spans="1:9" ht="13.5" customHeight="1">
      <c r="A114" s="99" t="s">
        <v>73</v>
      </c>
      <c r="B114" s="100">
        <v>0</v>
      </c>
      <c r="C114" s="101">
        <v>0</v>
      </c>
      <c r="D114" s="102">
        <v>0</v>
      </c>
      <c r="E114" s="101">
        <v>1000</v>
      </c>
      <c r="F114" s="137">
        <f t="shared" si="16"/>
        <v>1000</v>
      </c>
      <c r="G114" s="103">
        <v>1000</v>
      </c>
      <c r="H114" s="103">
        <v>2060.13</v>
      </c>
      <c r="I114" s="146">
        <f t="shared" si="19"/>
        <v>0</v>
      </c>
    </row>
    <row r="115" spans="1:9" ht="13.5" customHeight="1">
      <c r="A115" s="105" t="s">
        <v>34</v>
      </c>
      <c r="B115" s="106">
        <v>0</v>
      </c>
      <c r="C115" s="107">
        <v>0</v>
      </c>
      <c r="D115" s="108">
        <v>0</v>
      </c>
      <c r="E115" s="107">
        <v>0</v>
      </c>
      <c r="F115" s="153">
        <f t="shared" si="16"/>
        <v>0</v>
      </c>
      <c r="G115" s="103">
        <v>0</v>
      </c>
      <c r="H115" s="109">
        <v>0</v>
      </c>
      <c r="I115" s="148"/>
    </row>
    <row r="116" spans="1:9" s="114" customFormat="1" ht="13.5" customHeight="1">
      <c r="A116" s="120" t="s">
        <v>74</v>
      </c>
      <c r="B116" s="111">
        <f>B115-B114</f>
        <v>0</v>
      </c>
      <c r="C116" s="112">
        <f aca="true" t="shared" si="21" ref="C116:H116">C115-C114</f>
        <v>0</v>
      </c>
      <c r="D116" s="113">
        <f t="shared" si="21"/>
        <v>0</v>
      </c>
      <c r="E116" s="112">
        <f t="shared" si="21"/>
        <v>-1000</v>
      </c>
      <c r="F116" s="154">
        <f t="shared" si="21"/>
        <v>-1000</v>
      </c>
      <c r="G116" s="113">
        <f t="shared" si="21"/>
        <v>-1000</v>
      </c>
      <c r="H116" s="112">
        <f t="shared" si="21"/>
        <v>-2060.13</v>
      </c>
      <c r="I116" s="129">
        <f>(F116-G116)/G116</f>
        <v>0</v>
      </c>
    </row>
    <row r="117" spans="1:9" ht="7.5" customHeight="1">
      <c r="A117" s="117"/>
      <c r="B117" s="118"/>
      <c r="C117" s="119"/>
      <c r="D117" s="82"/>
      <c r="E117" s="119"/>
      <c r="F117" s="156"/>
      <c r="G117" s="82"/>
      <c r="H117" s="119"/>
      <c r="I117" s="145"/>
    </row>
    <row r="118" spans="1:9" s="114" customFormat="1" ht="13.5" customHeight="1">
      <c r="A118" s="120" t="s">
        <v>193</v>
      </c>
      <c r="B118" s="111">
        <f aca="true" t="shared" si="22" ref="B118:H118">B22-B38-B55-B64-B69-B73-B112-B116</f>
        <v>-291000</v>
      </c>
      <c r="C118" s="112">
        <f t="shared" si="22"/>
        <v>-4091000</v>
      </c>
      <c r="D118" s="113">
        <f t="shared" si="22"/>
        <v>-396000</v>
      </c>
      <c r="E118" s="112">
        <f t="shared" si="22"/>
        <v>-808000</v>
      </c>
      <c r="F118" s="154">
        <f t="shared" si="22"/>
        <v>-5586000</v>
      </c>
      <c r="G118" s="113">
        <f t="shared" si="22"/>
        <v>-5622000</v>
      </c>
      <c r="H118" s="112">
        <f t="shared" si="22"/>
        <v>-4638638.320000002</v>
      </c>
      <c r="I118" s="129">
        <f>(F118-G118)/G118</f>
        <v>-0.0064034151547491995</v>
      </c>
    </row>
    <row r="119" spans="1:9" ht="7.5" customHeight="1">
      <c r="A119" s="131"/>
      <c r="B119" s="151"/>
      <c r="C119" s="132"/>
      <c r="D119" s="133"/>
      <c r="E119" s="132"/>
      <c r="F119" s="159"/>
      <c r="G119" s="133"/>
      <c r="H119" s="132"/>
      <c r="I119" s="160"/>
    </row>
    <row r="120" spans="1:9" s="114" customFormat="1" ht="13.5" customHeight="1">
      <c r="A120" s="116" t="s">
        <v>75</v>
      </c>
      <c r="B120" s="123"/>
      <c r="C120" s="124"/>
      <c r="D120" s="125"/>
      <c r="E120" s="124"/>
      <c r="F120" s="137"/>
      <c r="G120" s="125"/>
      <c r="H120" s="124"/>
      <c r="I120" s="147"/>
    </row>
    <row r="121" spans="1:9" ht="13.5" customHeight="1">
      <c r="A121" s="99" t="s">
        <v>76</v>
      </c>
      <c r="B121" s="100">
        <v>0</v>
      </c>
      <c r="C121" s="101">
        <v>0</v>
      </c>
      <c r="D121" s="102">
        <v>0</v>
      </c>
      <c r="E121" s="101">
        <v>20000</v>
      </c>
      <c r="F121" s="137">
        <f>SUM(B121:E121)</f>
        <v>20000</v>
      </c>
      <c r="G121" s="103">
        <v>20000</v>
      </c>
      <c r="H121" s="103">
        <v>-51691</v>
      </c>
      <c r="I121" s="146">
        <f>(F121-G121)/G121</f>
        <v>0</v>
      </c>
    </row>
    <row r="122" spans="1:9" s="114" customFormat="1" ht="13.5" customHeight="1">
      <c r="A122" s="120" t="s">
        <v>160</v>
      </c>
      <c r="B122" s="111">
        <f aca="true" t="shared" si="23" ref="B122:H122">SUM(B121:B121)</f>
        <v>0</v>
      </c>
      <c r="C122" s="112">
        <f t="shared" si="23"/>
        <v>0</v>
      </c>
      <c r="D122" s="113">
        <f t="shared" si="23"/>
        <v>0</v>
      </c>
      <c r="E122" s="112">
        <f t="shared" si="23"/>
        <v>20000</v>
      </c>
      <c r="F122" s="154">
        <f t="shared" si="23"/>
        <v>20000</v>
      </c>
      <c r="G122" s="113">
        <f t="shared" si="23"/>
        <v>20000</v>
      </c>
      <c r="H122" s="112">
        <f t="shared" si="23"/>
        <v>-51691</v>
      </c>
      <c r="I122" s="129">
        <f>(F122-G122)/G122</f>
        <v>0</v>
      </c>
    </row>
    <row r="123" spans="2:8" s="130" customFormat="1" ht="12">
      <c r="B123" s="82"/>
      <c r="C123" s="82"/>
      <c r="D123" s="82"/>
      <c r="E123" s="82"/>
      <c r="F123" s="158"/>
      <c r="G123" s="82"/>
      <c r="H123" s="82"/>
    </row>
    <row r="124" spans="1:9" s="114" customFormat="1" ht="13.5" customHeight="1">
      <c r="A124" s="126" t="s">
        <v>191</v>
      </c>
      <c r="B124" s="111">
        <f aca="true" t="shared" si="24" ref="B124:H124">B118-B122</f>
        <v>-291000</v>
      </c>
      <c r="C124" s="112">
        <f t="shared" si="24"/>
        <v>-4091000</v>
      </c>
      <c r="D124" s="113">
        <f t="shared" si="24"/>
        <v>-396000</v>
      </c>
      <c r="E124" s="112">
        <f t="shared" si="24"/>
        <v>-828000</v>
      </c>
      <c r="F124" s="154">
        <f t="shared" si="24"/>
        <v>-5606000</v>
      </c>
      <c r="G124" s="113">
        <f t="shared" si="24"/>
        <v>-5642000</v>
      </c>
      <c r="H124" s="112">
        <f t="shared" si="24"/>
        <v>-4586947.320000002</v>
      </c>
      <c r="I124" s="144">
        <f aca="true" t="shared" si="25" ref="I124:I131">(F124-G124)/G124</f>
        <v>-0.006380716058135413</v>
      </c>
    </row>
    <row r="125" spans="1:9" ht="13.5" customHeight="1">
      <c r="A125" s="115" t="s">
        <v>170</v>
      </c>
      <c r="B125" s="94">
        <f aca="true" t="shared" si="26" ref="B125:H125">B69</f>
        <v>194000</v>
      </c>
      <c r="C125" s="95">
        <f t="shared" si="26"/>
        <v>22000</v>
      </c>
      <c r="D125" s="96">
        <f t="shared" si="26"/>
        <v>5000</v>
      </c>
      <c r="E125" s="95">
        <f t="shared" si="26"/>
        <v>35000</v>
      </c>
      <c r="F125" s="155">
        <f t="shared" si="26"/>
        <v>256000</v>
      </c>
      <c r="G125" s="96">
        <f t="shared" si="26"/>
        <v>242000</v>
      </c>
      <c r="H125" s="95">
        <f t="shared" si="26"/>
        <v>253746.9</v>
      </c>
      <c r="I125" s="150">
        <f t="shared" si="25"/>
        <v>0.05785123966942149</v>
      </c>
    </row>
    <row r="126" spans="1:9" ht="13.5" customHeight="1">
      <c r="A126" s="99" t="s">
        <v>40</v>
      </c>
      <c r="B126" s="100">
        <f>B124+B125</f>
        <v>-97000</v>
      </c>
      <c r="C126" s="101">
        <f aca="true" t="shared" si="27" ref="C126:H126">C124+C125</f>
        <v>-4069000</v>
      </c>
      <c r="D126" s="102">
        <f t="shared" si="27"/>
        <v>-391000</v>
      </c>
      <c r="E126" s="101">
        <f t="shared" si="27"/>
        <v>-793000</v>
      </c>
      <c r="F126" s="137">
        <f t="shared" si="27"/>
        <v>-5350000</v>
      </c>
      <c r="G126" s="102">
        <f t="shared" si="27"/>
        <v>-5400000</v>
      </c>
      <c r="H126" s="101">
        <f t="shared" si="27"/>
        <v>-4333200.420000002</v>
      </c>
      <c r="I126" s="146">
        <f t="shared" si="25"/>
        <v>-0.009259259259259259</v>
      </c>
    </row>
    <row r="127" spans="1:9" ht="13.5" customHeight="1">
      <c r="A127" s="139" t="s">
        <v>177</v>
      </c>
      <c r="B127" s="136">
        <v>0</v>
      </c>
      <c r="C127" s="136">
        <v>200000</v>
      </c>
      <c r="D127" s="136">
        <v>0</v>
      </c>
      <c r="E127" s="136">
        <v>0</v>
      </c>
      <c r="F127" s="136">
        <f>SUM(B127:E127)</f>
        <v>200000</v>
      </c>
      <c r="G127" s="101">
        <v>300000</v>
      </c>
      <c r="H127" s="103">
        <v>-598006.91</v>
      </c>
      <c r="I127" s="146">
        <f t="shared" si="25"/>
        <v>-0.3333333333333333</v>
      </c>
    </row>
    <row r="128" spans="1:9" s="162" customFormat="1" ht="13.5" customHeight="1">
      <c r="A128" s="142" t="s">
        <v>184</v>
      </c>
      <c r="B128" s="182">
        <v>0</v>
      </c>
      <c r="C128" s="183"/>
      <c r="D128" s="184">
        <v>0</v>
      </c>
      <c r="E128" s="183">
        <v>0</v>
      </c>
      <c r="F128" s="136">
        <f>SUM(B128:E128)</f>
        <v>0</v>
      </c>
      <c r="G128" s="138">
        <v>0</v>
      </c>
      <c r="H128" s="175">
        <v>0</v>
      </c>
      <c r="I128" s="176"/>
    </row>
    <row r="129" spans="1:9" ht="12">
      <c r="A129" s="174" t="s">
        <v>182</v>
      </c>
      <c r="B129" s="106">
        <v>-100000</v>
      </c>
      <c r="C129" s="107">
        <v>0</v>
      </c>
      <c r="D129" s="108">
        <v>0</v>
      </c>
      <c r="E129" s="107">
        <v>0</v>
      </c>
      <c r="F129" s="161">
        <f>SUM(B129:E129)</f>
        <v>-100000</v>
      </c>
      <c r="G129" s="103">
        <v>-100000</v>
      </c>
      <c r="H129" s="191">
        <v>-100000</v>
      </c>
      <c r="I129" s="146">
        <f t="shared" si="25"/>
        <v>0</v>
      </c>
    </row>
    <row r="130" spans="1:9" ht="13.5" customHeight="1">
      <c r="A130" s="142" t="s">
        <v>183</v>
      </c>
      <c r="B130" s="106">
        <v>-250000</v>
      </c>
      <c r="C130" s="107">
        <v>0</v>
      </c>
      <c r="D130" s="108">
        <v>0</v>
      </c>
      <c r="E130" s="107">
        <v>0</v>
      </c>
      <c r="F130" s="153">
        <f>SUM(B130:E130)</f>
        <v>-250000</v>
      </c>
      <c r="G130" s="103">
        <v>-200000</v>
      </c>
      <c r="H130" s="191">
        <f>-398557.17-H129</f>
        <v>-298557.17</v>
      </c>
      <c r="I130" s="148">
        <f t="shared" si="25"/>
        <v>0.25</v>
      </c>
    </row>
    <row r="131" spans="1:9" s="114" customFormat="1" ht="14.25" customHeight="1">
      <c r="A131" s="127" t="s">
        <v>173</v>
      </c>
      <c r="B131" s="111">
        <f aca="true" t="shared" si="28" ref="B131:H131">SUM(B126:B130)</f>
        <v>-447000</v>
      </c>
      <c r="C131" s="112">
        <f t="shared" si="28"/>
        <v>-3869000</v>
      </c>
      <c r="D131" s="113">
        <f t="shared" si="28"/>
        <v>-391000</v>
      </c>
      <c r="E131" s="112">
        <f t="shared" si="28"/>
        <v>-793000</v>
      </c>
      <c r="F131" s="154">
        <f t="shared" si="28"/>
        <v>-5500000</v>
      </c>
      <c r="G131" s="113">
        <f t="shared" si="28"/>
        <v>-5400000</v>
      </c>
      <c r="H131" s="112">
        <f t="shared" si="28"/>
        <v>-5329764.500000002</v>
      </c>
      <c r="I131" s="129">
        <f t="shared" si="25"/>
        <v>0.018518518518518517</v>
      </c>
    </row>
    <row r="132" spans="2:9" ht="7.5" customHeight="1">
      <c r="B132" s="104"/>
      <c r="C132" s="104"/>
      <c r="D132" s="104"/>
      <c r="E132" s="104"/>
      <c r="F132" s="157"/>
      <c r="G132" s="104"/>
      <c r="H132" s="104"/>
      <c r="I132" s="192"/>
    </row>
    <row r="133" spans="2:8" ht="13.5" customHeight="1">
      <c r="B133" s="104"/>
      <c r="C133" s="104"/>
      <c r="D133" s="104"/>
      <c r="E133" s="104"/>
      <c r="F133" s="104"/>
      <c r="G133" s="104"/>
      <c r="H133" s="104"/>
    </row>
    <row r="134" spans="2:8" ht="13.5" customHeight="1">
      <c r="B134" s="104"/>
      <c r="C134" s="104"/>
      <c r="D134" s="104"/>
      <c r="E134" s="104"/>
      <c r="F134" s="104"/>
      <c r="G134" s="104"/>
      <c r="H134" s="104"/>
    </row>
    <row r="135" spans="2:8" ht="13.5" customHeight="1">
      <c r="B135" s="104"/>
      <c r="C135" s="104"/>
      <c r="D135" s="104"/>
      <c r="E135" s="104"/>
      <c r="F135" s="104"/>
      <c r="G135" s="104"/>
      <c r="H135" s="104"/>
    </row>
    <row r="136" spans="2:8" ht="13.5" customHeight="1">
      <c r="B136" s="104"/>
      <c r="C136" s="104"/>
      <c r="D136" s="104"/>
      <c r="E136" s="104"/>
      <c r="F136" s="128"/>
      <c r="G136" s="104"/>
      <c r="H136" s="104"/>
    </row>
    <row r="137" spans="2:8" ht="13.5" customHeight="1">
      <c r="B137" s="104"/>
      <c r="C137" s="104"/>
      <c r="D137" s="104"/>
      <c r="E137" s="104"/>
      <c r="F137" s="128"/>
      <c r="G137" s="104"/>
      <c r="H137" s="104"/>
    </row>
    <row r="138" spans="2:8" ht="13.5" customHeight="1">
      <c r="B138" s="104"/>
      <c r="C138" s="104"/>
      <c r="D138" s="104"/>
      <c r="E138" s="104"/>
      <c r="F138" s="128"/>
      <c r="G138" s="104"/>
      <c r="H138" s="104"/>
    </row>
    <row r="139" spans="2:8" ht="13.5" customHeight="1">
      <c r="B139" s="104"/>
      <c r="C139" s="104"/>
      <c r="D139" s="104"/>
      <c r="E139" s="104"/>
      <c r="F139" s="128"/>
      <c r="G139" s="104"/>
      <c r="H139" s="104"/>
    </row>
    <row r="140" spans="2:8" ht="13.5" customHeight="1">
      <c r="B140" s="104"/>
      <c r="C140" s="104"/>
      <c r="D140" s="104"/>
      <c r="E140" s="104"/>
      <c r="F140" s="128"/>
      <c r="G140" s="104"/>
      <c r="H140" s="104"/>
    </row>
    <row r="141" spans="2:8" ht="13.5" customHeight="1">
      <c r="B141" s="104"/>
      <c r="C141" s="104"/>
      <c r="D141" s="104"/>
      <c r="E141" s="104"/>
      <c r="F141" s="128"/>
      <c r="G141" s="104"/>
      <c r="H141" s="104"/>
    </row>
    <row r="142" spans="2:8" ht="13.5" customHeight="1">
      <c r="B142" s="104"/>
      <c r="C142" s="104"/>
      <c r="D142" s="104"/>
      <c r="E142" s="104"/>
      <c r="F142" s="128"/>
      <c r="G142" s="104"/>
      <c r="H142" s="104"/>
    </row>
    <row r="143" spans="2:8" ht="13.5" customHeight="1">
      <c r="B143" s="104"/>
      <c r="C143" s="104"/>
      <c r="D143" s="104"/>
      <c r="E143" s="104"/>
      <c r="F143" s="128"/>
      <c r="G143" s="104"/>
      <c r="H143" s="104"/>
    </row>
    <row r="144" spans="2:8" ht="13.5" customHeight="1">
      <c r="B144" s="104"/>
      <c r="C144" s="104"/>
      <c r="D144" s="104"/>
      <c r="E144" s="104"/>
      <c r="F144" s="128"/>
      <c r="G144" s="104"/>
      <c r="H144" s="104"/>
    </row>
    <row r="145" spans="2:8" ht="13.5" customHeight="1">
      <c r="B145" s="104"/>
      <c r="C145" s="104"/>
      <c r="D145" s="104"/>
      <c r="E145" s="104"/>
      <c r="F145" s="128"/>
      <c r="G145" s="104"/>
      <c r="H145" s="104"/>
    </row>
    <row r="146" spans="2:8" ht="13.5" customHeight="1">
      <c r="B146" s="104"/>
      <c r="C146" s="104"/>
      <c r="D146" s="104"/>
      <c r="E146" s="104"/>
      <c r="F146" s="128"/>
      <c r="G146" s="104"/>
      <c r="H146" s="104"/>
    </row>
    <row r="147" spans="2:8" ht="13.5" customHeight="1">
      <c r="B147" s="104"/>
      <c r="C147" s="104"/>
      <c r="D147" s="104"/>
      <c r="E147" s="104"/>
      <c r="F147" s="128"/>
      <c r="G147" s="104"/>
      <c r="H147" s="104"/>
    </row>
    <row r="148" spans="2:8" ht="13.5" customHeight="1">
      <c r="B148" s="104"/>
      <c r="C148" s="104"/>
      <c r="D148" s="104"/>
      <c r="E148" s="104"/>
      <c r="F148" s="128"/>
      <c r="G148" s="104"/>
      <c r="H148" s="104"/>
    </row>
    <row r="149" spans="2:8" ht="13.5" customHeight="1">
      <c r="B149" s="104"/>
      <c r="C149" s="104"/>
      <c r="D149" s="104"/>
      <c r="E149" s="104"/>
      <c r="F149" s="128"/>
      <c r="G149" s="104"/>
      <c r="H149" s="104"/>
    </row>
    <row r="150" spans="2:8" ht="13.5" customHeight="1">
      <c r="B150" s="104"/>
      <c r="C150" s="104"/>
      <c r="D150" s="104"/>
      <c r="E150" s="104"/>
      <c r="F150" s="128"/>
      <c r="G150" s="104"/>
      <c r="H150" s="104"/>
    </row>
    <row r="151" spans="2:8" ht="13.5" customHeight="1">
      <c r="B151" s="104"/>
      <c r="C151" s="104"/>
      <c r="D151" s="104"/>
      <c r="E151" s="104"/>
      <c r="F151" s="128"/>
      <c r="G151" s="104"/>
      <c r="H151" s="104"/>
    </row>
    <row r="152" spans="2:8" ht="13.5" customHeight="1">
      <c r="B152" s="104"/>
      <c r="C152" s="104"/>
      <c r="D152" s="104"/>
      <c r="E152" s="104"/>
      <c r="F152" s="128"/>
      <c r="G152" s="104"/>
      <c r="H152" s="104"/>
    </row>
    <row r="153" spans="2:8" ht="13.5" customHeight="1">
      <c r="B153" s="104"/>
      <c r="C153" s="104"/>
      <c r="D153" s="104"/>
      <c r="E153" s="104"/>
      <c r="F153" s="128"/>
      <c r="G153" s="104"/>
      <c r="H153" s="104"/>
    </row>
    <row r="154" spans="2:8" ht="13.5" customHeight="1">
      <c r="B154" s="104"/>
      <c r="C154" s="104"/>
      <c r="D154" s="104"/>
      <c r="E154" s="104"/>
      <c r="F154" s="128"/>
      <c r="G154" s="104"/>
      <c r="H154" s="104"/>
    </row>
    <row r="155" spans="2:8" ht="13.5" customHeight="1">
      <c r="B155" s="104"/>
      <c r="C155" s="104"/>
      <c r="D155" s="104"/>
      <c r="E155" s="104"/>
      <c r="F155" s="128"/>
      <c r="G155" s="104"/>
      <c r="H155" s="104"/>
    </row>
    <row r="156" spans="2:8" ht="13.5" customHeight="1">
      <c r="B156" s="104"/>
      <c r="C156" s="104"/>
      <c r="D156" s="104"/>
      <c r="E156" s="104"/>
      <c r="F156" s="128"/>
      <c r="G156" s="104"/>
      <c r="H156" s="104"/>
    </row>
    <row r="157" spans="2:8" ht="13.5" customHeight="1">
      <c r="B157" s="104"/>
      <c r="C157" s="104"/>
      <c r="D157" s="104"/>
      <c r="E157" s="104"/>
      <c r="F157" s="128"/>
      <c r="G157" s="104"/>
      <c r="H157" s="104"/>
    </row>
    <row r="158" spans="2:8" ht="13.5" customHeight="1">
      <c r="B158" s="104"/>
      <c r="C158" s="104"/>
      <c r="D158" s="104"/>
      <c r="E158" s="104"/>
      <c r="F158" s="128"/>
      <c r="G158" s="104"/>
      <c r="H158" s="104"/>
    </row>
    <row r="159" spans="2:8" ht="13.5" customHeight="1">
      <c r="B159" s="104"/>
      <c r="C159" s="104"/>
      <c r="D159" s="104"/>
      <c r="E159" s="104"/>
      <c r="F159" s="128"/>
      <c r="G159" s="104"/>
      <c r="H159" s="104"/>
    </row>
    <row r="160" spans="2:8" ht="13.5" customHeight="1">
      <c r="B160" s="104"/>
      <c r="C160" s="104"/>
      <c r="D160" s="104"/>
      <c r="E160" s="104"/>
      <c r="F160" s="128"/>
      <c r="G160" s="104"/>
      <c r="H160" s="104"/>
    </row>
    <row r="161" spans="2:8" ht="13.5" customHeight="1">
      <c r="B161" s="104"/>
      <c r="C161" s="104"/>
      <c r="D161" s="104"/>
      <c r="E161" s="104"/>
      <c r="F161" s="128"/>
      <c r="G161" s="104"/>
      <c r="H161" s="104"/>
    </row>
    <row r="162" spans="2:8" ht="13.5" customHeight="1">
      <c r="B162" s="104"/>
      <c r="C162" s="104"/>
      <c r="D162" s="104"/>
      <c r="E162" s="104"/>
      <c r="F162" s="128"/>
      <c r="G162" s="104"/>
      <c r="H162" s="104"/>
    </row>
    <row r="163" spans="2:8" ht="13.5" customHeight="1">
      <c r="B163" s="104"/>
      <c r="C163" s="104"/>
      <c r="D163" s="104"/>
      <c r="E163" s="104"/>
      <c r="F163" s="128"/>
      <c r="G163" s="104"/>
      <c r="H163" s="104"/>
    </row>
    <row r="164" spans="2:8" ht="13.5" customHeight="1">
      <c r="B164" s="104"/>
      <c r="C164" s="104"/>
      <c r="D164" s="104"/>
      <c r="E164" s="104"/>
      <c r="F164" s="128"/>
      <c r="G164" s="104"/>
      <c r="H164" s="104"/>
    </row>
    <row r="165" spans="2:8" ht="13.5" customHeight="1">
      <c r="B165" s="104"/>
      <c r="C165" s="104"/>
      <c r="D165" s="104"/>
      <c r="E165" s="104"/>
      <c r="F165" s="128"/>
      <c r="G165" s="104"/>
      <c r="H165" s="104"/>
    </row>
    <row r="166" spans="2:8" ht="13.5" customHeight="1">
      <c r="B166" s="104"/>
      <c r="C166" s="104"/>
      <c r="D166" s="104"/>
      <c r="E166" s="104"/>
      <c r="F166" s="128"/>
      <c r="G166" s="104"/>
      <c r="H166" s="104"/>
    </row>
    <row r="167" spans="2:8" ht="13.5" customHeight="1">
      <c r="B167" s="104"/>
      <c r="C167" s="104"/>
      <c r="D167" s="104"/>
      <c r="E167" s="104"/>
      <c r="F167" s="128"/>
      <c r="G167" s="104"/>
      <c r="H167" s="104"/>
    </row>
    <row r="168" spans="2:8" ht="13.5" customHeight="1">
      <c r="B168" s="104"/>
      <c r="C168" s="104"/>
      <c r="D168" s="104"/>
      <c r="E168" s="104"/>
      <c r="F168" s="128"/>
      <c r="G168" s="104"/>
      <c r="H168" s="104"/>
    </row>
    <row r="169" spans="2:8" ht="13.5" customHeight="1">
      <c r="B169" s="104"/>
      <c r="C169" s="104"/>
      <c r="D169" s="104"/>
      <c r="E169" s="104"/>
      <c r="F169" s="128"/>
      <c r="G169" s="104"/>
      <c r="H169" s="104"/>
    </row>
    <row r="170" spans="2:8" ht="13.5" customHeight="1">
      <c r="B170" s="104"/>
      <c r="C170" s="104"/>
      <c r="D170" s="104"/>
      <c r="E170" s="104"/>
      <c r="F170" s="128"/>
      <c r="G170" s="104"/>
      <c r="H170" s="104"/>
    </row>
    <row r="171" spans="2:8" ht="13.5" customHeight="1">
      <c r="B171" s="104"/>
      <c r="C171" s="104"/>
      <c r="D171" s="104"/>
      <c r="E171" s="104"/>
      <c r="F171" s="128"/>
      <c r="G171" s="104"/>
      <c r="H171" s="104"/>
    </row>
    <row r="172" spans="2:8" ht="13.5" customHeight="1">
      <c r="B172" s="104"/>
      <c r="C172" s="104"/>
      <c r="D172" s="104"/>
      <c r="E172" s="104"/>
      <c r="F172" s="128"/>
      <c r="G172" s="104"/>
      <c r="H172" s="104"/>
    </row>
    <row r="173" spans="2:8" ht="13.5" customHeight="1">
      <c r="B173" s="104"/>
      <c r="C173" s="104"/>
      <c r="D173" s="104"/>
      <c r="E173" s="104"/>
      <c r="F173" s="128"/>
      <c r="G173" s="104"/>
      <c r="H173" s="104"/>
    </row>
    <row r="174" spans="2:8" ht="13.5" customHeight="1">
      <c r="B174" s="104"/>
      <c r="C174" s="104"/>
      <c r="D174" s="104"/>
      <c r="E174" s="104"/>
      <c r="F174" s="128"/>
      <c r="G174" s="104"/>
      <c r="H174" s="104"/>
    </row>
    <row r="175" spans="2:8" ht="13.5" customHeight="1">
      <c r="B175" s="104"/>
      <c r="C175" s="104"/>
      <c r="D175" s="104"/>
      <c r="E175" s="104"/>
      <c r="F175" s="128"/>
      <c r="G175" s="104"/>
      <c r="H175" s="104"/>
    </row>
    <row r="176" spans="2:8" ht="13.5" customHeight="1">
      <c r="B176" s="104"/>
      <c r="C176" s="104"/>
      <c r="D176" s="104"/>
      <c r="E176" s="104"/>
      <c r="F176" s="128"/>
      <c r="G176" s="104"/>
      <c r="H176" s="104"/>
    </row>
    <row r="177" spans="2:8" ht="13.5" customHeight="1">
      <c r="B177" s="104"/>
      <c r="C177" s="104"/>
      <c r="D177" s="104"/>
      <c r="E177" s="104"/>
      <c r="F177" s="128"/>
      <c r="G177" s="104"/>
      <c r="H177" s="104"/>
    </row>
    <row r="178" spans="2:8" ht="13.5" customHeight="1">
      <c r="B178" s="104"/>
      <c r="C178" s="104"/>
      <c r="D178" s="104"/>
      <c r="E178" s="104"/>
      <c r="F178" s="128"/>
      <c r="G178" s="104"/>
      <c r="H178" s="104"/>
    </row>
    <row r="179" spans="2:8" ht="13.5" customHeight="1">
      <c r="B179" s="104"/>
      <c r="C179" s="104"/>
      <c r="D179" s="104"/>
      <c r="E179" s="104"/>
      <c r="F179" s="128"/>
      <c r="G179" s="104"/>
      <c r="H179" s="104"/>
    </row>
    <row r="180" spans="2:8" ht="13.5" customHeight="1">
      <c r="B180" s="104"/>
      <c r="C180" s="104"/>
      <c r="D180" s="104"/>
      <c r="E180" s="104"/>
      <c r="F180" s="128"/>
      <c r="G180" s="104"/>
      <c r="H180" s="104"/>
    </row>
    <row r="181" spans="2:8" ht="12">
      <c r="B181" s="104"/>
      <c r="C181" s="104"/>
      <c r="D181" s="104"/>
      <c r="E181" s="104"/>
      <c r="F181" s="128"/>
      <c r="G181" s="104"/>
      <c r="H181" s="104"/>
    </row>
    <row r="182" spans="2:8" ht="12">
      <c r="B182" s="104"/>
      <c r="C182" s="104"/>
      <c r="D182" s="104"/>
      <c r="E182" s="104"/>
      <c r="F182" s="128"/>
      <c r="G182" s="104"/>
      <c r="H182" s="104"/>
    </row>
    <row r="183" spans="2:8" ht="12">
      <c r="B183" s="104"/>
      <c r="C183" s="104"/>
      <c r="D183" s="104"/>
      <c r="E183" s="104"/>
      <c r="F183" s="128"/>
      <c r="G183" s="104"/>
      <c r="H183" s="104"/>
    </row>
    <row r="184" spans="2:8" ht="12">
      <c r="B184" s="104"/>
      <c r="C184" s="104"/>
      <c r="D184" s="104"/>
      <c r="E184" s="104"/>
      <c r="F184" s="128"/>
      <c r="G184" s="104"/>
      <c r="H184" s="104"/>
    </row>
    <row r="185" spans="2:8" ht="12">
      <c r="B185" s="104"/>
      <c r="C185" s="104"/>
      <c r="D185" s="104"/>
      <c r="E185" s="104"/>
      <c r="F185" s="128"/>
      <c r="G185" s="104"/>
      <c r="H185" s="104"/>
    </row>
    <row r="186" spans="2:8" ht="12">
      <c r="B186" s="104"/>
      <c r="C186" s="104"/>
      <c r="D186" s="104"/>
      <c r="E186" s="104"/>
      <c r="F186" s="128"/>
      <c r="G186" s="104"/>
      <c r="H186" s="104"/>
    </row>
    <row r="187" spans="2:8" ht="12">
      <c r="B187" s="104"/>
      <c r="C187" s="104"/>
      <c r="D187" s="104"/>
      <c r="E187" s="104"/>
      <c r="F187" s="128"/>
      <c r="G187" s="104"/>
      <c r="H187" s="104"/>
    </row>
    <row r="188" spans="2:8" ht="12">
      <c r="B188" s="104"/>
      <c r="C188" s="104"/>
      <c r="D188" s="104"/>
      <c r="E188" s="104"/>
      <c r="F188" s="128"/>
      <c r="G188" s="104"/>
      <c r="H188" s="104"/>
    </row>
    <row r="189" spans="2:8" ht="12">
      <c r="B189" s="104"/>
      <c r="C189" s="104"/>
      <c r="D189" s="104"/>
      <c r="E189" s="104"/>
      <c r="F189" s="128"/>
      <c r="G189" s="104"/>
      <c r="H189" s="104"/>
    </row>
    <row r="190" spans="2:8" ht="12">
      <c r="B190" s="104"/>
      <c r="C190" s="104"/>
      <c r="D190" s="104"/>
      <c r="E190" s="104"/>
      <c r="F190" s="128"/>
      <c r="G190" s="104"/>
      <c r="H190" s="104"/>
    </row>
    <row r="191" spans="2:8" ht="12">
      <c r="B191" s="104"/>
      <c r="C191" s="104"/>
      <c r="D191" s="104"/>
      <c r="E191" s="104"/>
      <c r="F191" s="128"/>
      <c r="G191" s="104"/>
      <c r="H191" s="104"/>
    </row>
    <row r="192" spans="2:8" ht="12">
      <c r="B192" s="104"/>
      <c r="C192" s="104"/>
      <c r="D192" s="104"/>
      <c r="E192" s="104"/>
      <c r="F192" s="128"/>
      <c r="G192" s="104"/>
      <c r="H192" s="104"/>
    </row>
    <row r="193" spans="2:8" ht="12">
      <c r="B193" s="104"/>
      <c r="C193" s="104"/>
      <c r="D193" s="104"/>
      <c r="E193" s="104"/>
      <c r="F193" s="128"/>
      <c r="G193" s="104"/>
      <c r="H193" s="104"/>
    </row>
    <row r="194" spans="2:8" ht="12">
      <c r="B194" s="104"/>
      <c r="C194" s="104"/>
      <c r="D194" s="104"/>
      <c r="E194" s="104"/>
      <c r="F194" s="128"/>
      <c r="G194" s="104"/>
      <c r="H194" s="104"/>
    </row>
    <row r="195" spans="2:8" ht="12">
      <c r="B195" s="104"/>
      <c r="C195" s="104"/>
      <c r="D195" s="104"/>
      <c r="E195" s="104"/>
      <c r="F195" s="128"/>
      <c r="G195" s="104"/>
      <c r="H195" s="104"/>
    </row>
    <row r="196" spans="2:8" ht="12">
      <c r="B196" s="104"/>
      <c r="C196" s="104"/>
      <c r="D196" s="104"/>
      <c r="E196" s="104"/>
      <c r="F196" s="128"/>
      <c r="G196" s="104"/>
      <c r="H196" s="104"/>
    </row>
    <row r="197" spans="2:8" ht="12">
      <c r="B197" s="104"/>
      <c r="C197" s="104"/>
      <c r="D197" s="104"/>
      <c r="E197" s="104"/>
      <c r="F197" s="128"/>
      <c r="G197" s="104"/>
      <c r="H197" s="104"/>
    </row>
    <row r="198" spans="2:8" ht="12">
      <c r="B198" s="104"/>
      <c r="C198" s="104"/>
      <c r="D198" s="104"/>
      <c r="E198" s="104"/>
      <c r="F198" s="128"/>
      <c r="G198" s="104"/>
      <c r="H198" s="104"/>
    </row>
    <row r="199" spans="2:8" ht="12">
      <c r="B199" s="104"/>
      <c r="C199" s="104"/>
      <c r="D199" s="104"/>
      <c r="E199" s="104"/>
      <c r="F199" s="128"/>
      <c r="G199" s="104"/>
      <c r="H199" s="104"/>
    </row>
    <row r="200" spans="2:8" ht="12">
      <c r="B200" s="104"/>
      <c r="C200" s="104"/>
      <c r="D200" s="104"/>
      <c r="E200" s="104"/>
      <c r="F200" s="128"/>
      <c r="G200" s="104"/>
      <c r="H200" s="104"/>
    </row>
    <row r="201" spans="2:8" ht="12">
      <c r="B201" s="104"/>
      <c r="C201" s="104"/>
      <c r="D201" s="104"/>
      <c r="E201" s="104"/>
      <c r="F201" s="128"/>
      <c r="G201" s="104"/>
      <c r="H201" s="104"/>
    </row>
    <row r="202" spans="2:8" ht="12">
      <c r="B202" s="104"/>
      <c r="C202" s="104"/>
      <c r="D202" s="104"/>
      <c r="E202" s="104"/>
      <c r="F202" s="128"/>
      <c r="G202" s="104"/>
      <c r="H202" s="104"/>
    </row>
    <row r="203" spans="2:8" ht="12">
      <c r="B203" s="104"/>
      <c r="C203" s="104"/>
      <c r="D203" s="104"/>
      <c r="E203" s="104"/>
      <c r="F203" s="128"/>
      <c r="G203" s="104"/>
      <c r="H203" s="104"/>
    </row>
    <row r="204" spans="2:8" ht="12">
      <c r="B204" s="104"/>
      <c r="C204" s="104"/>
      <c r="D204" s="104"/>
      <c r="E204" s="104"/>
      <c r="F204" s="128"/>
      <c r="G204" s="104"/>
      <c r="H204" s="104"/>
    </row>
    <row r="205" spans="2:8" ht="12">
      <c r="B205" s="104"/>
      <c r="C205" s="104"/>
      <c r="D205" s="104"/>
      <c r="E205" s="104"/>
      <c r="F205" s="128"/>
      <c r="G205" s="104"/>
      <c r="H205" s="104"/>
    </row>
    <row r="206" spans="2:8" ht="12">
      <c r="B206" s="104"/>
      <c r="C206" s="104"/>
      <c r="D206" s="104"/>
      <c r="E206" s="104"/>
      <c r="F206" s="128"/>
      <c r="G206" s="104"/>
      <c r="H206" s="104"/>
    </row>
    <row r="207" spans="2:8" ht="12">
      <c r="B207" s="104"/>
      <c r="C207" s="104"/>
      <c r="D207" s="104"/>
      <c r="E207" s="104"/>
      <c r="F207" s="128"/>
      <c r="G207" s="104"/>
      <c r="H207" s="104"/>
    </row>
    <row r="208" spans="2:8" ht="12">
      <c r="B208" s="104"/>
      <c r="C208" s="104"/>
      <c r="D208" s="104"/>
      <c r="E208" s="104"/>
      <c r="F208" s="128"/>
      <c r="G208" s="104"/>
      <c r="H208" s="104"/>
    </row>
    <row r="209" spans="2:8" ht="12">
      <c r="B209" s="104"/>
      <c r="C209" s="104"/>
      <c r="D209" s="104"/>
      <c r="E209" s="104"/>
      <c r="F209" s="128"/>
      <c r="G209" s="104"/>
      <c r="H209" s="104"/>
    </row>
    <row r="210" spans="2:8" ht="12">
      <c r="B210" s="104"/>
      <c r="C210" s="104"/>
      <c r="D210" s="104"/>
      <c r="E210" s="104"/>
      <c r="F210" s="128"/>
      <c r="G210" s="104"/>
      <c r="H210" s="104"/>
    </row>
    <row r="211" spans="2:8" ht="12">
      <c r="B211" s="104"/>
      <c r="C211" s="104"/>
      <c r="D211" s="104"/>
      <c r="E211" s="104"/>
      <c r="F211" s="128"/>
      <c r="G211" s="104"/>
      <c r="H211" s="104"/>
    </row>
    <row r="212" spans="2:8" ht="12">
      <c r="B212" s="104"/>
      <c r="C212" s="104"/>
      <c r="D212" s="104"/>
      <c r="E212" s="104"/>
      <c r="F212" s="128"/>
      <c r="G212" s="104"/>
      <c r="H212" s="104"/>
    </row>
    <row r="213" spans="2:8" ht="12">
      <c r="B213" s="104"/>
      <c r="C213" s="104"/>
      <c r="D213" s="104"/>
      <c r="E213" s="104"/>
      <c r="F213" s="128"/>
      <c r="G213" s="104"/>
      <c r="H213" s="104"/>
    </row>
    <row r="214" spans="2:8" ht="12">
      <c r="B214" s="104"/>
      <c r="C214" s="104"/>
      <c r="D214" s="104"/>
      <c r="E214" s="104"/>
      <c r="F214" s="128"/>
      <c r="G214" s="104"/>
      <c r="H214" s="104"/>
    </row>
    <row r="215" spans="2:8" ht="12">
      <c r="B215" s="104"/>
      <c r="C215" s="104"/>
      <c r="D215" s="104"/>
      <c r="E215" s="104"/>
      <c r="F215" s="128"/>
      <c r="G215" s="104"/>
      <c r="H215" s="104"/>
    </row>
    <row r="216" spans="2:8" ht="12">
      <c r="B216" s="104"/>
      <c r="C216" s="104"/>
      <c r="D216" s="104"/>
      <c r="E216" s="104"/>
      <c r="F216" s="128"/>
      <c r="G216" s="104"/>
      <c r="H216" s="104"/>
    </row>
    <row r="217" spans="2:8" ht="12">
      <c r="B217" s="104"/>
      <c r="C217" s="104"/>
      <c r="D217" s="104"/>
      <c r="E217" s="104"/>
      <c r="F217" s="128"/>
      <c r="G217" s="104"/>
      <c r="H217" s="104"/>
    </row>
    <row r="218" spans="2:8" ht="12">
      <c r="B218" s="104"/>
      <c r="C218" s="104"/>
      <c r="D218" s="104"/>
      <c r="E218" s="104"/>
      <c r="F218" s="128"/>
      <c r="G218" s="104"/>
      <c r="H218" s="104"/>
    </row>
    <row r="219" spans="2:8" ht="12">
      <c r="B219" s="104"/>
      <c r="C219" s="104"/>
      <c r="D219" s="104"/>
      <c r="E219" s="104"/>
      <c r="F219" s="128"/>
      <c r="G219" s="104"/>
      <c r="H219" s="104"/>
    </row>
    <row r="220" spans="2:8" ht="12">
      <c r="B220" s="104"/>
      <c r="C220" s="104"/>
      <c r="D220" s="104"/>
      <c r="E220" s="104"/>
      <c r="F220" s="128"/>
      <c r="G220" s="104"/>
      <c r="H220" s="104"/>
    </row>
    <row r="221" spans="2:8" ht="12">
      <c r="B221" s="104"/>
      <c r="C221" s="104"/>
      <c r="D221" s="104"/>
      <c r="E221" s="104"/>
      <c r="F221" s="128"/>
      <c r="G221" s="104"/>
      <c r="H221" s="104"/>
    </row>
    <row r="222" spans="2:8" ht="12">
      <c r="B222" s="104"/>
      <c r="C222" s="104"/>
      <c r="D222" s="104"/>
      <c r="E222" s="104"/>
      <c r="F222" s="128"/>
      <c r="G222" s="104"/>
      <c r="H222" s="104"/>
    </row>
    <row r="223" spans="2:8" ht="12">
      <c r="B223" s="104"/>
      <c r="C223" s="104"/>
      <c r="D223" s="104"/>
      <c r="E223" s="104"/>
      <c r="F223" s="128"/>
      <c r="G223" s="104"/>
      <c r="H223" s="104"/>
    </row>
    <row r="224" spans="2:8" ht="12">
      <c r="B224" s="104"/>
      <c r="C224" s="104"/>
      <c r="D224" s="104"/>
      <c r="E224" s="104"/>
      <c r="F224" s="128"/>
      <c r="G224" s="104"/>
      <c r="H224" s="104"/>
    </row>
    <row r="225" spans="2:8" ht="12">
      <c r="B225" s="104"/>
      <c r="C225" s="104"/>
      <c r="D225" s="104"/>
      <c r="E225" s="104"/>
      <c r="F225" s="128"/>
      <c r="G225" s="104"/>
      <c r="H225" s="104"/>
    </row>
    <row r="226" spans="2:8" ht="12">
      <c r="B226" s="104"/>
      <c r="C226" s="104"/>
      <c r="D226" s="104"/>
      <c r="E226" s="104"/>
      <c r="F226" s="128"/>
      <c r="G226" s="104"/>
      <c r="H226" s="104"/>
    </row>
    <row r="227" spans="2:8" ht="12">
      <c r="B227" s="104"/>
      <c r="C227" s="104"/>
      <c r="D227" s="104"/>
      <c r="E227" s="104"/>
      <c r="F227" s="128"/>
      <c r="G227" s="104"/>
      <c r="H227" s="104"/>
    </row>
    <row r="228" spans="2:8" ht="12">
      <c r="B228" s="104"/>
      <c r="C228" s="104"/>
      <c r="D228" s="104"/>
      <c r="E228" s="104"/>
      <c r="F228" s="128"/>
      <c r="G228" s="104"/>
      <c r="H228" s="104"/>
    </row>
    <row r="229" spans="2:8" ht="12">
      <c r="B229" s="104"/>
      <c r="C229" s="104"/>
      <c r="D229" s="104"/>
      <c r="E229" s="104"/>
      <c r="F229" s="128"/>
      <c r="G229" s="104"/>
      <c r="H229" s="104"/>
    </row>
    <row r="230" spans="2:8" ht="12">
      <c r="B230" s="104"/>
      <c r="C230" s="104"/>
      <c r="D230" s="104"/>
      <c r="E230" s="104"/>
      <c r="F230" s="128"/>
      <c r="G230" s="104"/>
      <c r="H230" s="104"/>
    </row>
    <row r="231" spans="2:8" ht="12">
      <c r="B231" s="104"/>
      <c r="C231" s="104"/>
      <c r="D231" s="104"/>
      <c r="E231" s="104"/>
      <c r="F231" s="128"/>
      <c r="G231" s="104"/>
      <c r="H231" s="104"/>
    </row>
    <row r="232" spans="2:8" ht="12">
      <c r="B232" s="104"/>
      <c r="C232" s="104"/>
      <c r="D232" s="104"/>
      <c r="E232" s="104"/>
      <c r="F232" s="128"/>
      <c r="G232" s="104"/>
      <c r="H232" s="104"/>
    </row>
    <row r="233" spans="2:8" ht="12">
      <c r="B233" s="104"/>
      <c r="C233" s="104"/>
      <c r="D233" s="104"/>
      <c r="E233" s="104"/>
      <c r="F233" s="128"/>
      <c r="G233" s="104"/>
      <c r="H233" s="104"/>
    </row>
    <row r="234" spans="2:8" ht="12">
      <c r="B234" s="104"/>
      <c r="C234" s="104"/>
      <c r="D234" s="104"/>
      <c r="E234" s="104"/>
      <c r="F234" s="128"/>
      <c r="G234" s="104"/>
      <c r="H234" s="104"/>
    </row>
    <row r="235" spans="2:8" ht="12">
      <c r="B235" s="104"/>
      <c r="C235" s="104"/>
      <c r="D235" s="104"/>
      <c r="E235" s="104"/>
      <c r="F235" s="128"/>
      <c r="G235" s="104"/>
      <c r="H235" s="104"/>
    </row>
    <row r="236" spans="2:8" ht="12">
      <c r="B236" s="104"/>
      <c r="C236" s="104"/>
      <c r="D236" s="104"/>
      <c r="E236" s="104"/>
      <c r="F236" s="128"/>
      <c r="G236" s="104"/>
      <c r="H236" s="104"/>
    </row>
    <row r="237" spans="2:8" ht="12">
      <c r="B237" s="104"/>
      <c r="C237" s="104"/>
      <c r="D237" s="104"/>
      <c r="E237" s="104"/>
      <c r="F237" s="128"/>
      <c r="G237" s="104"/>
      <c r="H237" s="104"/>
    </row>
    <row r="238" spans="2:8" ht="12">
      <c r="B238" s="104"/>
      <c r="C238" s="104"/>
      <c r="D238" s="104"/>
      <c r="E238" s="104"/>
      <c r="F238" s="128"/>
      <c r="G238" s="104"/>
      <c r="H238" s="104"/>
    </row>
    <row r="239" spans="2:8" ht="12">
      <c r="B239" s="104"/>
      <c r="C239" s="104"/>
      <c r="D239" s="104"/>
      <c r="E239" s="104"/>
      <c r="F239" s="128"/>
      <c r="G239" s="104"/>
      <c r="H239" s="104"/>
    </row>
    <row r="240" spans="2:8" ht="12">
      <c r="B240" s="104"/>
      <c r="C240" s="104"/>
      <c r="D240" s="104"/>
      <c r="E240" s="104"/>
      <c r="F240" s="128"/>
      <c r="G240" s="104"/>
      <c r="H240" s="104"/>
    </row>
    <row r="241" spans="2:8" ht="12">
      <c r="B241" s="104"/>
      <c r="C241" s="104"/>
      <c r="D241" s="104"/>
      <c r="E241" s="104"/>
      <c r="F241" s="128"/>
      <c r="G241" s="104"/>
      <c r="H241" s="104"/>
    </row>
    <row r="242" spans="2:8" ht="12">
      <c r="B242" s="104"/>
      <c r="C242" s="104"/>
      <c r="D242" s="104"/>
      <c r="E242" s="104"/>
      <c r="F242" s="128"/>
      <c r="G242" s="104"/>
      <c r="H242" s="104"/>
    </row>
    <row r="243" spans="2:8" ht="12">
      <c r="B243" s="104"/>
      <c r="C243" s="104"/>
      <c r="D243" s="104"/>
      <c r="E243" s="104"/>
      <c r="F243" s="128"/>
      <c r="G243" s="104"/>
      <c r="H243" s="104"/>
    </row>
    <row r="244" spans="2:8" ht="12">
      <c r="B244" s="104"/>
      <c r="C244" s="104"/>
      <c r="D244" s="104"/>
      <c r="E244" s="104"/>
      <c r="F244" s="128"/>
      <c r="G244" s="104"/>
      <c r="H244" s="104"/>
    </row>
    <row r="245" spans="2:8" ht="12">
      <c r="B245" s="104"/>
      <c r="C245" s="104"/>
      <c r="D245" s="104"/>
      <c r="E245" s="104"/>
      <c r="F245" s="128"/>
      <c r="G245" s="104"/>
      <c r="H245" s="104"/>
    </row>
    <row r="246" spans="2:8" ht="12">
      <c r="B246" s="104"/>
      <c r="C246" s="104"/>
      <c r="D246" s="104"/>
      <c r="E246" s="104"/>
      <c r="F246" s="128"/>
      <c r="G246" s="104"/>
      <c r="H246" s="104"/>
    </row>
    <row r="247" spans="2:8" ht="12">
      <c r="B247" s="104"/>
      <c r="C247" s="104"/>
      <c r="D247" s="104"/>
      <c r="E247" s="104"/>
      <c r="F247" s="128"/>
      <c r="G247" s="104"/>
      <c r="H247" s="104"/>
    </row>
    <row r="248" spans="2:8" ht="12">
      <c r="B248" s="104"/>
      <c r="C248" s="104"/>
      <c r="D248" s="104"/>
      <c r="E248" s="104"/>
      <c r="F248" s="128"/>
      <c r="G248" s="104"/>
      <c r="H248" s="104"/>
    </row>
    <row r="249" spans="2:8" ht="12">
      <c r="B249" s="104"/>
      <c r="C249" s="104"/>
      <c r="D249" s="104"/>
      <c r="E249" s="104"/>
      <c r="F249" s="128"/>
      <c r="G249" s="104"/>
      <c r="H249" s="104"/>
    </row>
    <row r="250" spans="2:8" ht="12">
      <c r="B250" s="104"/>
      <c r="C250" s="104"/>
      <c r="D250" s="104"/>
      <c r="E250" s="104"/>
      <c r="F250" s="128"/>
      <c r="G250" s="104"/>
      <c r="H250" s="104"/>
    </row>
    <row r="251" spans="2:8" ht="12">
      <c r="B251" s="104"/>
      <c r="C251" s="104"/>
      <c r="D251" s="104"/>
      <c r="E251" s="104"/>
      <c r="F251" s="128"/>
      <c r="G251" s="104"/>
      <c r="H251" s="104"/>
    </row>
    <row r="252" spans="2:8" ht="12">
      <c r="B252" s="104"/>
      <c r="C252" s="104"/>
      <c r="D252" s="104"/>
      <c r="E252" s="104"/>
      <c r="F252" s="128"/>
      <c r="G252" s="104"/>
      <c r="H252" s="104"/>
    </row>
    <row r="253" spans="2:8" ht="12">
      <c r="B253" s="104"/>
      <c r="C253" s="104"/>
      <c r="D253" s="104"/>
      <c r="E253" s="104"/>
      <c r="F253" s="128"/>
      <c r="G253" s="104"/>
      <c r="H253" s="104"/>
    </row>
    <row r="254" spans="2:8" ht="12">
      <c r="B254" s="104"/>
      <c r="C254" s="104"/>
      <c r="D254" s="104"/>
      <c r="E254" s="104"/>
      <c r="F254" s="128"/>
      <c r="G254" s="104"/>
      <c r="H254" s="104"/>
    </row>
    <row r="255" spans="2:8" ht="12">
      <c r="B255" s="104"/>
      <c r="C255" s="104"/>
      <c r="D255" s="104"/>
      <c r="E255" s="104"/>
      <c r="F255" s="128"/>
      <c r="G255" s="104"/>
      <c r="H255" s="104"/>
    </row>
    <row r="256" spans="2:8" ht="12">
      <c r="B256" s="104"/>
      <c r="C256" s="104"/>
      <c r="D256" s="104"/>
      <c r="E256" s="104"/>
      <c r="F256" s="128"/>
      <c r="G256" s="104"/>
      <c r="H256" s="104"/>
    </row>
    <row r="257" spans="2:8" ht="12">
      <c r="B257" s="104"/>
      <c r="C257" s="104"/>
      <c r="D257" s="104"/>
      <c r="E257" s="104"/>
      <c r="F257" s="128"/>
      <c r="G257" s="104"/>
      <c r="H257" s="104"/>
    </row>
    <row r="258" spans="2:8" ht="12">
      <c r="B258" s="104"/>
      <c r="C258" s="104"/>
      <c r="D258" s="104"/>
      <c r="E258" s="104"/>
      <c r="F258" s="128"/>
      <c r="G258" s="104"/>
      <c r="H258" s="104"/>
    </row>
    <row r="259" spans="2:8" ht="12">
      <c r="B259" s="104"/>
      <c r="C259" s="104"/>
      <c r="D259" s="104"/>
      <c r="E259" s="104"/>
      <c r="F259" s="128"/>
      <c r="G259" s="104"/>
      <c r="H259" s="104"/>
    </row>
    <row r="260" spans="2:8" ht="12">
      <c r="B260" s="104"/>
      <c r="C260" s="104"/>
      <c r="D260" s="104"/>
      <c r="E260" s="104"/>
      <c r="F260" s="128"/>
      <c r="G260" s="104"/>
      <c r="H260" s="104"/>
    </row>
    <row r="261" spans="2:8" ht="12">
      <c r="B261" s="104"/>
      <c r="C261" s="104"/>
      <c r="D261" s="104"/>
      <c r="E261" s="104"/>
      <c r="F261" s="128"/>
      <c r="G261" s="104"/>
      <c r="H261" s="104"/>
    </row>
    <row r="262" spans="2:8" ht="12">
      <c r="B262" s="104"/>
      <c r="C262" s="104"/>
      <c r="D262" s="104"/>
      <c r="E262" s="104"/>
      <c r="F262" s="128"/>
      <c r="G262" s="104"/>
      <c r="H262" s="104"/>
    </row>
    <row r="263" spans="2:8" ht="12">
      <c r="B263" s="104"/>
      <c r="C263" s="104"/>
      <c r="D263" s="104"/>
      <c r="E263" s="104"/>
      <c r="F263" s="128"/>
      <c r="G263" s="104"/>
      <c r="H263" s="104"/>
    </row>
    <row r="264" spans="2:8" ht="12">
      <c r="B264" s="104"/>
      <c r="C264" s="104"/>
      <c r="D264" s="104"/>
      <c r="E264" s="104"/>
      <c r="F264" s="128"/>
      <c r="G264" s="104"/>
      <c r="H264" s="104"/>
    </row>
    <row r="265" spans="2:8" ht="12">
      <c r="B265" s="104"/>
      <c r="C265" s="104"/>
      <c r="D265" s="104"/>
      <c r="E265" s="104"/>
      <c r="F265" s="128"/>
      <c r="G265" s="104"/>
      <c r="H265" s="104"/>
    </row>
    <row r="266" spans="2:8" ht="12">
      <c r="B266" s="104"/>
      <c r="C266" s="104"/>
      <c r="D266" s="104"/>
      <c r="E266" s="104"/>
      <c r="F266" s="128"/>
      <c r="G266" s="104"/>
      <c r="H266" s="104"/>
    </row>
    <row r="267" spans="2:8" ht="12">
      <c r="B267" s="104"/>
      <c r="C267" s="104"/>
      <c r="D267" s="104"/>
      <c r="E267" s="104"/>
      <c r="F267" s="128"/>
      <c r="G267" s="104"/>
      <c r="H267" s="104"/>
    </row>
    <row r="268" spans="2:8" ht="12">
      <c r="B268" s="104"/>
      <c r="C268" s="104"/>
      <c r="D268" s="104"/>
      <c r="E268" s="104"/>
      <c r="F268" s="128"/>
      <c r="G268" s="104"/>
      <c r="H268" s="104"/>
    </row>
    <row r="269" spans="2:8" ht="12">
      <c r="B269" s="104"/>
      <c r="C269" s="104"/>
      <c r="D269" s="104"/>
      <c r="E269" s="104"/>
      <c r="F269" s="128"/>
      <c r="G269" s="104"/>
      <c r="H269" s="104"/>
    </row>
    <row r="270" spans="2:8" ht="12">
      <c r="B270" s="104"/>
      <c r="C270" s="104"/>
      <c r="D270" s="104"/>
      <c r="E270" s="104"/>
      <c r="F270" s="128"/>
      <c r="G270" s="104"/>
      <c r="H270" s="104"/>
    </row>
    <row r="271" spans="2:8" ht="12">
      <c r="B271" s="104"/>
      <c r="C271" s="104"/>
      <c r="D271" s="104"/>
      <c r="E271" s="104"/>
      <c r="F271" s="128"/>
      <c r="G271" s="104"/>
      <c r="H271" s="104"/>
    </row>
  </sheetData>
  <sheetProtection/>
  <printOptions horizontalCentered="1"/>
  <pageMargins left="0.2755905511811024" right="0.2755905511811024" top="0.5511811023622047" bottom="0.2362204724409449" header="0.2362204724409449" footer="0.2362204724409449"/>
  <pageSetup horizontalDpi="600" verticalDpi="600" orientation="landscape" paperSize="9" r:id="rId3"/>
  <headerFooter alignWithMargins="0">
    <oddHeader>&amp;L&amp;"Arial,Fett"TOURISMUS SALZBURG GMBH&amp;C&amp;"Arial,Fett"JAHRESBERICHT 2020 - Finanzbedarf
&amp;"Arial,Standard"
&amp;R
</oddHeader>
    <oddFooter>&amp;R&amp;"Arial,Fett"&amp;8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Tourismus Salzburg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eichub</dc:creator>
  <cp:keywords/>
  <dc:description/>
  <cp:lastModifiedBy>Freudenthaler Bernhard</cp:lastModifiedBy>
  <cp:lastPrinted>2019-06-14T08:13:37Z</cp:lastPrinted>
  <dcterms:created xsi:type="dcterms:W3CDTF">2002-02-11T15:25:06Z</dcterms:created>
  <dcterms:modified xsi:type="dcterms:W3CDTF">2020-02-06T14:15:40Z</dcterms:modified>
  <cp:category/>
  <cp:version/>
  <cp:contentType/>
  <cp:contentStatus/>
</cp:coreProperties>
</file>