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1"/>
  </bookViews>
  <sheets>
    <sheet name="Deckblatt" sheetId="1" r:id="rId1"/>
    <sheet name="G&amp;V" sheetId="2" r:id="rId2"/>
    <sheet name="Bilanz" sheetId="3" r:id="rId3"/>
    <sheet name="G&amp;VErl" sheetId="4" r:id="rId4"/>
  </sheets>
  <definedNames>
    <definedName name="_xlnm.Print_Titles" localSheetId="1">'G&amp;V'!$1:$5</definedName>
    <definedName name="_xlnm.Print_Titles" localSheetId="3">'G&amp;VErl'!$1:$1</definedName>
  </definedNames>
  <calcPr fullCalcOnLoad="1"/>
</workbook>
</file>

<file path=xl/comments4.xml><?xml version="1.0" encoding="utf-8"?>
<comments xmlns="http://schemas.openxmlformats.org/spreadsheetml/2006/main">
  <authors>
    <author>Eichinger Hubertus</author>
  </authors>
  <commentList>
    <comment ref="H3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ohne flohmarkt, grundstückverkf</t>
        </r>
      </text>
    </comment>
    <comment ref="A96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2017 und 2018 inkl. SW für Reisebussystem und 2017 inkl. P&amp;Ride
</t>
        </r>
      </text>
    </comment>
  </commentList>
</comments>
</file>

<file path=xl/sharedStrings.xml><?xml version="1.0" encoding="utf-8"?>
<sst xmlns="http://schemas.openxmlformats.org/spreadsheetml/2006/main" count="245" uniqueCount="216">
  <si>
    <t>Position</t>
  </si>
  <si>
    <t>Handelswaren</t>
  </si>
  <si>
    <t>Zimmervermittlung</t>
  </si>
  <si>
    <t>Insertionen</t>
  </si>
  <si>
    <t>Vermietungen</t>
  </si>
  <si>
    <t>Pacht Sheraton</t>
  </si>
  <si>
    <t>Betriebsleistung</t>
  </si>
  <si>
    <t>Druckkosten Information</t>
  </si>
  <si>
    <t>Druckkosten Geschäftsausstattung</t>
  </si>
  <si>
    <t>Druckkostenbeiträge</t>
  </si>
  <si>
    <t>Wärme</t>
  </si>
  <si>
    <t>Wasser</t>
  </si>
  <si>
    <t>Strom</t>
  </si>
  <si>
    <t>Kurmittel</t>
  </si>
  <si>
    <t>Satz und Litho</t>
  </si>
  <si>
    <t>Übersetzungen</t>
  </si>
  <si>
    <t>Auslagendekoration</t>
  </si>
  <si>
    <t>Pressedienst / Öffentlichkeitsarbeit</t>
  </si>
  <si>
    <t>Photo, Film, Dia</t>
  </si>
  <si>
    <t>Schulung</t>
  </si>
  <si>
    <t>Abschreibungen</t>
  </si>
  <si>
    <t>Transporte</t>
  </si>
  <si>
    <t>Porto</t>
  </si>
  <si>
    <t>Reisegebühren</t>
  </si>
  <si>
    <t>Bauernherbst</t>
  </si>
  <si>
    <t>Skishuttle</t>
  </si>
  <si>
    <t>Marktforschung</t>
  </si>
  <si>
    <t>Auftrittsmöglichkeit für Chöre</t>
  </si>
  <si>
    <t>werbeähnlicher Aufwand</t>
  </si>
  <si>
    <t>Betriebsgemeinschaft</t>
  </si>
  <si>
    <t>Mitgliedschaften</t>
  </si>
  <si>
    <t>Journalistenbetreuung</t>
  </si>
  <si>
    <t>Abos</t>
  </si>
  <si>
    <t>Werbemittel</t>
  </si>
  <si>
    <t>sonstige Zinsen und ähnliche Erträge</t>
  </si>
  <si>
    <t>Zinsen und ähnliche Aufwendungen</t>
  </si>
  <si>
    <t>Löhne</t>
  </si>
  <si>
    <t>Gehälter</t>
  </si>
  <si>
    <t>Miete Geschäfte</t>
  </si>
  <si>
    <t>Fachveranstaltungen / Messen</t>
  </si>
  <si>
    <t>New Media Marketing / Internet</t>
  </si>
  <si>
    <t>Cash flow</t>
  </si>
  <si>
    <t>Kongressdienstausgaben</t>
  </si>
  <si>
    <t>CONGRESS</t>
  </si>
  <si>
    <t>ZENTRALE DIENSTE</t>
  </si>
  <si>
    <t>Umsatzerlöse</t>
  </si>
  <si>
    <t>Summe Umsatzerlöse</t>
  </si>
  <si>
    <t>Summe Sonstige Erträge</t>
  </si>
  <si>
    <t>Materialaufwand</t>
  </si>
  <si>
    <t>Chipkarten Salzburg Card</t>
  </si>
  <si>
    <t>Druckwerke</t>
  </si>
  <si>
    <t>Summe Materialaufwand</t>
  </si>
  <si>
    <t>Agentuspesen</t>
  </si>
  <si>
    <t>Gewinnspiele und Preise</t>
  </si>
  <si>
    <t>Personalaufwand</t>
  </si>
  <si>
    <t>Sonstige Sozialaufwendungen</t>
  </si>
  <si>
    <t>Sume Personalaufwand</t>
  </si>
  <si>
    <t>auf immaterielle Gegenstände des Anlage-</t>
  </si>
  <si>
    <t>vermögens und Sachanlagen</t>
  </si>
  <si>
    <t>Summe Abschreibungen</t>
  </si>
  <si>
    <t>sonstige Steuern</t>
  </si>
  <si>
    <t>Summe sonstige Steuern</t>
  </si>
  <si>
    <t>übrige</t>
  </si>
  <si>
    <t>Personalgestellung durch Dritte (Bewachung, Saalarbeiter udgl.)</t>
  </si>
  <si>
    <t>TOURISMUS   BÜRO</t>
  </si>
  <si>
    <t>Telefon</t>
  </si>
  <si>
    <t>ARGE Italien</t>
  </si>
  <si>
    <t>Repräsentation / Verkaufsreisen / Studiengruppen</t>
  </si>
  <si>
    <t>Honorare (Künstler, Fremdenführer udgl.)</t>
  </si>
  <si>
    <t>Reserve bzw. Unvorhergesehenes</t>
  </si>
  <si>
    <t>Miete / Pacht</t>
  </si>
  <si>
    <t>Versicherung</t>
  </si>
  <si>
    <t>Sonstiger Aufwand</t>
  </si>
  <si>
    <t>Summe übrige Aufwendungen</t>
  </si>
  <si>
    <t>sonstige Zinsen und ähnliche Ertäge</t>
  </si>
  <si>
    <t>Finanzerfolg</t>
  </si>
  <si>
    <t>Steuern von Einkommen und Ertrag</t>
  </si>
  <si>
    <t>Körperschaftsteuer</t>
  </si>
  <si>
    <t>Kapitalertragsteuer</t>
  </si>
  <si>
    <t>Aufwendungen für Material und sonstige bezogene Leistungen</t>
  </si>
  <si>
    <t>Aufwand für bezogene Leistungen</t>
  </si>
  <si>
    <t>Aufwendungen für gesetzlich vorgeschriebene Sozialabgaben</t>
  </si>
  <si>
    <t>sowie vom Entgelt abhängige Abgaben und Pflichtbeiträge</t>
  </si>
  <si>
    <t>Sonstige betriebliche Erträge</t>
  </si>
  <si>
    <t>Summe Aufwand für bezogene Leistungen</t>
  </si>
  <si>
    <t>sonstige betriebliche Aufwendungen</t>
  </si>
  <si>
    <t>TSG TOURISMUS SALZBURG GMBH</t>
  </si>
  <si>
    <t>1.</t>
  </si>
  <si>
    <t>2.</t>
  </si>
  <si>
    <t>sonstige betriebliche Erträge</t>
  </si>
  <si>
    <t>a. übrige</t>
  </si>
  <si>
    <t>3.</t>
  </si>
  <si>
    <t xml:space="preserve">B e t r i e b s l e i s t u n g </t>
  </si>
  <si>
    <t>4.</t>
  </si>
  <si>
    <t>a. Materialaufwand</t>
  </si>
  <si>
    <t>b. Aufwendungen für bezogene Leistungen</t>
  </si>
  <si>
    <t>5.</t>
  </si>
  <si>
    <t>a. Löhne</t>
  </si>
  <si>
    <t>b. Gehälter</t>
  </si>
  <si>
    <t>c. Dotierung Rückstellung Abfertigung</t>
  </si>
  <si>
    <t>d. Aufwendungen für gesetzlich vorgeschriebene</t>
  </si>
  <si>
    <t xml:space="preserve">   Sozialabgaben sowie vom Entgelt abhängige</t>
  </si>
  <si>
    <t xml:space="preserve">   Abgaben und Pflichtbeiträge</t>
  </si>
  <si>
    <t>e. sonstige Sozialaufwendungen</t>
  </si>
  <si>
    <t>6.</t>
  </si>
  <si>
    <t>a. auf immaterielle Gegenstände des Anlage-</t>
  </si>
  <si>
    <t xml:space="preserve">   Vermögens und Sachanlagen</t>
  </si>
  <si>
    <t>aa. Planmäßige Abschreibungen</t>
  </si>
  <si>
    <t>7.</t>
  </si>
  <si>
    <t>a. sonstige Steuern</t>
  </si>
  <si>
    <t>b. übrige</t>
  </si>
  <si>
    <t>8.</t>
  </si>
  <si>
    <t>Zwischensumme aus Z 1 bis 7                               (B e t r i e b s e r g e b n i s)</t>
  </si>
  <si>
    <t xml:space="preserve">9. </t>
  </si>
  <si>
    <t>10.</t>
  </si>
  <si>
    <t>11.</t>
  </si>
  <si>
    <t>Zwischensumme aus Z 9 bis 10                             (F i n a n z e r f o l g)</t>
  </si>
  <si>
    <t>12.</t>
  </si>
  <si>
    <t>13.</t>
  </si>
  <si>
    <t>14.</t>
  </si>
  <si>
    <t>15.</t>
  </si>
  <si>
    <t>Auflösung Kapitalrücklage - Sachaufwand und Personalaufwand TSG</t>
  </si>
  <si>
    <t>Auflösung Kapitalrücklage - Personalaufwand VB</t>
  </si>
  <si>
    <t>Auflösung Kapitalrücklage - Investitionen</t>
  </si>
  <si>
    <t>16.</t>
  </si>
  <si>
    <t>Gewinnvortrag</t>
  </si>
  <si>
    <t>17.</t>
  </si>
  <si>
    <t>Bilanzgewinn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</si>
  <si>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</si>
  <si>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</si>
  <si>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</si>
  <si>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</si>
  <si>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</si>
  <si>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</si>
  <si>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</si>
  <si>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II.</t>
  </si>
  <si>
    <t>Kapitalrücklagen</t>
  </si>
  <si>
    <t>Aktivierte Rechte/Datenverarbeitungsprogramme</t>
  </si>
  <si>
    <t>Sachanlagen</t>
  </si>
  <si>
    <t>Grundstücke und Bauten auf fremden Boden</t>
  </si>
  <si>
    <t>B.</t>
  </si>
  <si>
    <t>Maschinen und maschinelle Anlagen</t>
  </si>
  <si>
    <t>andere Anlagen, Betriebs- und Geschäftsausstattung</t>
  </si>
  <si>
    <t>Summe Anlagevermögen</t>
  </si>
  <si>
    <t>RÜCKSTELLUNGEN</t>
  </si>
  <si>
    <t>Rückstellung Abfertigungen</t>
  </si>
  <si>
    <t>UMLAUFVERMÖGEN</t>
  </si>
  <si>
    <t>Sonstige Rückstellungen</t>
  </si>
  <si>
    <t>VERBINDLICHKEITEN</t>
  </si>
  <si>
    <t>Forderungen und sonstige Vermögensgegenstände</t>
  </si>
  <si>
    <t>erhaltene Anzahlungen</t>
  </si>
  <si>
    <t>Forderungen aus Lieferungen und Leistungen</t>
  </si>
  <si>
    <t>Verbindlichkeiten aus Lieferungen und Leistungen</t>
  </si>
  <si>
    <t>sonstige Forderungen und Vermögensgegenstände</t>
  </si>
  <si>
    <t>sonstige Verbindlichkeiten</t>
  </si>
  <si>
    <t>Kassenbestand</t>
  </si>
  <si>
    <t>Kassastand</t>
  </si>
  <si>
    <t>Guthaben bei Kreditinstitutionen</t>
  </si>
  <si>
    <t>SUMME AKTIVA</t>
  </si>
  <si>
    <t>SUMME PASSIVA</t>
  </si>
  <si>
    <t>KURHAUS</t>
  </si>
  <si>
    <t>Summe Steuern</t>
  </si>
  <si>
    <t>Auflösung Rücklage</t>
  </si>
  <si>
    <t xml:space="preserve">Personalaufwand </t>
  </si>
  <si>
    <t xml:space="preserve">Personalgestellung Magistrat (Altersbeihilfe) </t>
  </si>
  <si>
    <t xml:space="preserve">Leistungserlöse Hallenbad </t>
  </si>
  <si>
    <t xml:space="preserve">Leistungserlöse Sauna/Solarium </t>
  </si>
  <si>
    <t xml:space="preserve">Leistungserlöse Kur </t>
  </si>
  <si>
    <t>Medienwerbung/Insertion Fachmedien incl. Nebenkosten</t>
  </si>
  <si>
    <t>Kooperationen TV, Print, TO; Veranstaltungen</t>
  </si>
  <si>
    <t>Multiplikatorunterstützung / Produktmanagement Card</t>
  </si>
  <si>
    <t>Eigenpräsentation / Workshops / Innenmarketing</t>
  </si>
  <si>
    <t>Instandhaltung inkl. GWG und Kanalgebühren u. Treibstoff</t>
  </si>
  <si>
    <t>zuzüglich Abschreibungen (ohne GWG)</t>
  </si>
  <si>
    <t>Personalgestellung Magistrat (VB) inkl. Abfertigungen</t>
  </si>
  <si>
    <t>Rechts- / Prüfungs- und Beratungskosten u. Pers.Verr. Magistrat</t>
  </si>
  <si>
    <t xml:space="preserve">F I N A N Z B E D A R F   Gesellschafterzuschuss </t>
  </si>
  <si>
    <t xml:space="preserve">Leistungserlöse Congress </t>
  </si>
  <si>
    <t>Reisebus-/Schlechtwetterregelung</t>
  </si>
  <si>
    <t xml:space="preserve">Salzburg Card </t>
  </si>
  <si>
    <t xml:space="preserve">Entnahme Rücklage </t>
  </si>
  <si>
    <t>Altstadtsilvester</t>
  </si>
  <si>
    <t>plan 12</t>
  </si>
  <si>
    <t>diff</t>
  </si>
  <si>
    <t>Dotierung Rückstellung Abfertigung und MVK</t>
  </si>
  <si>
    <t>Salzburg Card + PLUS Leistungsträger</t>
  </si>
  <si>
    <t>Kongressförderung (inkl. SCB)</t>
  </si>
  <si>
    <t>Investitionen (siehe unten)</t>
  </si>
  <si>
    <t xml:space="preserve">Investitionen (siehe unten) </t>
  </si>
  <si>
    <t>Info Mozartplatz barrierefreier Zugang</t>
  </si>
  <si>
    <t>Kooparationen, Kostenersätze, Förderungen, Weiterverrechnungen</t>
  </si>
  <si>
    <t>Sonstige</t>
  </si>
  <si>
    <t xml:space="preserve">Summe Umlaufvermögen </t>
  </si>
  <si>
    <t>Summe Eigenkapital</t>
  </si>
  <si>
    <t>Summe Rückstelllungen</t>
  </si>
  <si>
    <t>Summe Verbindlichkeiten</t>
  </si>
  <si>
    <t>Zwischensumme aus Z 8 und Z 11                        (E r g e b n i s   v o r   S t e u e r n)</t>
  </si>
  <si>
    <t>Ergebnis nach Steuern</t>
  </si>
  <si>
    <t>E r g e b n i s   n a c h   S t e u e r n</t>
  </si>
  <si>
    <t>Ergebnis vor Steuern</t>
  </si>
  <si>
    <t xml:space="preserve">eingefordertes und eingezahltes Stammkapital </t>
  </si>
  <si>
    <t>J A H R E S B E R I C H T   2 0 1 9</t>
  </si>
  <si>
    <t>J A H R E S B E R I C H T   2 0 1 9  -  Planbilanz zum 31. Dezember 2019</t>
  </si>
  <si>
    <t>C.</t>
  </si>
  <si>
    <t>RECHNUNGSABGRENZUNGSPOSTEN</t>
  </si>
  <si>
    <t>c.</t>
  </si>
  <si>
    <t>J A H R E S B E R I C H T   2 0 1 9  -  Plan-Gewinn- und Verlustrechnung</t>
  </si>
  <si>
    <t>vom 1.1. bis 31.12.2019</t>
  </si>
  <si>
    <t>PLAN 2018</t>
  </si>
  <si>
    <t>IST 2017</t>
  </si>
  <si>
    <t>Verändg. 18/19</t>
  </si>
  <si>
    <t>Nebenerlöse (Gastro,Handelswaren, Garage)</t>
  </si>
  <si>
    <t xml:space="preserve">2019: Festspiele100 / Pre-Opening Paracelsusbad </t>
  </si>
  <si>
    <t xml:space="preserve">Plan Gewinn- und Verlustrechnung 2019 </t>
  </si>
  <si>
    <t xml:space="preserve">Planbilanz 31.12.2019 </t>
  </si>
  <si>
    <t xml:space="preserve">Finanzbedarf 2019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</si>
</sst>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.000"/>
    <numFmt numFmtId="179" formatCode="#,##0.0000"/>
    <numFmt numFmtId="180" formatCode="#,##0.0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  <numFmt numFmtId="188" formatCode="#,##0.00_ ;\-#,##0.00\ "/>
    <numFmt numFmtId="189" formatCode="#,##0.0_ ;\-#,##0.0\ "/>
    <numFmt numFmtId="190" formatCode="#,##0_ ;\-#,##0\ "/>
    <numFmt numFmtId="191" formatCode="#,##0_ ;[Red]\-#,##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0.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sz val="9"/>
      <color indexed="10"/>
      <name val="Garamond"/>
      <family val="1"/>
    </font>
    <font>
      <b/>
      <sz val="20"/>
      <name val="Garamond"/>
      <family val="1"/>
    </font>
    <font>
      <b/>
      <sz val="26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Garamond"/>
      <family val="1"/>
    </font>
    <font>
      <b/>
      <sz val="12"/>
      <color indexed="17"/>
      <name val="Garamond"/>
      <family val="1"/>
    </font>
    <font>
      <b/>
      <sz val="18"/>
      <color indexed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Garamond"/>
      <family val="1"/>
    </font>
    <font>
      <b/>
      <sz val="12"/>
      <color rgb="FF00B050"/>
      <name val="Garamond"/>
      <family val="1"/>
    </font>
    <font>
      <b/>
      <sz val="18"/>
      <color rgb="FFFF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0" fontId="5" fillId="0" borderId="20" xfId="5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3" fontId="5" fillId="0" borderId="23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10" fontId="5" fillId="0" borderId="12" xfId="5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 quotePrefix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2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3" fontId="60" fillId="0" borderId="38" xfId="0" applyNumberFormat="1" applyFont="1" applyFill="1" applyBorder="1" applyAlignment="1" quotePrefix="1">
      <alignment horizontal="right" vertical="center"/>
    </xf>
    <xf numFmtId="3" fontId="3" fillId="0" borderId="38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 quotePrefix="1">
      <alignment horizontal="right" vertic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3" fontId="60" fillId="0" borderId="38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/>
    </xf>
    <xf numFmtId="3" fontId="60" fillId="0" borderId="38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61" fillId="0" borderId="38" xfId="0" applyNumberFormat="1" applyFont="1" applyFill="1" applyBorder="1" applyAlignment="1">
      <alignment/>
    </xf>
    <xf numFmtId="4" fontId="3" fillId="0" borderId="0" xfId="0" applyNumberFormat="1" applyFont="1" applyFill="1" applyBorder="1" applyAlignment="1" quotePrefix="1">
      <alignment vertical="center" wrapText="1"/>
    </xf>
    <xf numFmtId="0" fontId="3" fillId="0" borderId="30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vertical="center" wrapText="1"/>
    </xf>
    <xf numFmtId="3" fontId="3" fillId="0" borderId="3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0" fontId="4" fillId="0" borderId="12" xfId="51" applyNumberFormat="1" applyFont="1" applyFill="1" applyBorder="1" applyAlignment="1">
      <alignment horizontal="center" vertical="center"/>
    </xf>
    <xf numFmtId="4" fontId="4" fillId="0" borderId="0" xfId="51" applyNumberFormat="1" applyFont="1" applyFill="1" applyAlignment="1">
      <alignment vertical="center"/>
    </xf>
    <xf numFmtId="10" fontId="4" fillId="0" borderId="0" xfId="51" applyNumberFormat="1" applyFont="1" applyFill="1" applyAlignment="1">
      <alignment vertical="center"/>
    </xf>
    <xf numFmtId="0" fontId="4" fillId="0" borderId="30" xfId="0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0" fontId="4" fillId="0" borderId="24" xfId="51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0" fontId="5" fillId="0" borderId="0" xfId="51" applyNumberFormat="1" applyFont="1" applyFill="1" applyAlignment="1">
      <alignment vertical="center"/>
    </xf>
    <xf numFmtId="3" fontId="4" fillId="0" borderId="0" xfId="51" applyNumberFormat="1" applyFont="1" applyFill="1" applyAlignment="1">
      <alignment vertical="center"/>
    </xf>
    <xf numFmtId="9" fontId="4" fillId="0" borderId="0" xfId="5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47" xfId="0" applyFont="1" applyFill="1" applyBorder="1" applyAlignment="1">
      <alignment vertical="center"/>
    </xf>
    <xf numFmtId="10" fontId="4" fillId="0" borderId="20" xfId="51" applyNumberFormat="1" applyFont="1" applyFill="1" applyBorder="1" applyAlignment="1">
      <alignment horizontal="center" vertical="center"/>
    </xf>
    <xf numFmtId="10" fontId="4" fillId="0" borderId="41" xfId="51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80.421875" style="6" customWidth="1"/>
    <col min="2" max="16384" width="11.421875" style="1" customWidth="1"/>
  </cols>
  <sheetData>
    <row r="1" s="3" customFormat="1" ht="26.25">
      <c r="A1" s="2" t="s">
        <v>86</v>
      </c>
    </row>
    <row r="13" ht="21">
      <c r="A13" s="41"/>
    </row>
    <row r="15" s="5" customFormat="1" ht="33.75">
      <c r="A15" s="4" t="s">
        <v>201</v>
      </c>
    </row>
    <row r="18" s="8" customFormat="1" ht="20.25" customHeight="1">
      <c r="A18" s="7" t="s">
        <v>213</v>
      </c>
    </row>
    <row r="19" s="8" customFormat="1" ht="20.25" customHeight="1">
      <c r="A19" s="7" t="s">
        <v>214</v>
      </c>
    </row>
    <row r="20" s="8" customFormat="1" ht="20.25" customHeight="1">
      <c r="A20" s="7" t="s">
        <v>215</v>
      </c>
    </row>
    <row r="21" s="8" customFormat="1" ht="20.25" customHeight="1">
      <c r="A21" s="7"/>
    </row>
    <row r="22" s="8" customFormat="1" ht="20.25" customHeight="1">
      <c r="A22" s="7"/>
    </row>
    <row r="23" s="8" customFormat="1" ht="20.25" customHeight="1">
      <c r="A23" s="7"/>
    </row>
    <row r="24" s="8" customFormat="1" ht="20.25" customHeight="1">
      <c r="A24" s="7"/>
    </row>
    <row r="25" s="8" customFormat="1" ht="20.25" customHeight="1">
      <c r="A25" s="7"/>
    </row>
    <row r="28" s="42" customFormat="1" ht="23.25">
      <c r="A28" s="44"/>
    </row>
    <row r="29" s="42" customFormat="1" ht="23.25">
      <c r="A29" s="43"/>
    </row>
    <row r="30" s="32" customFormat="1" ht="15.75">
      <c r="A30" s="31"/>
    </row>
    <row r="31" s="34" customFormat="1" ht="15.75">
      <c r="A31" s="33"/>
    </row>
    <row r="32" s="34" customFormat="1" ht="15.75">
      <c r="A32" s="35"/>
    </row>
    <row r="33" s="34" customFormat="1" ht="15.75">
      <c r="A33" s="33"/>
    </row>
    <row r="34" s="34" customFormat="1" ht="15.75">
      <c r="A34" s="33"/>
    </row>
    <row r="40" s="10" customFormat="1" ht="15">
      <c r="A40" s="9"/>
    </row>
  </sheetData>
  <sheetProtection/>
  <printOptions horizontalCentered="1" verticalCentered="1"/>
  <pageMargins left="0.9448818897637796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Header>&amp;RSeite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L27" sqref="L27"/>
    </sheetView>
  </sheetViews>
  <sheetFormatPr defaultColWidth="11.421875" defaultRowHeight="12.75"/>
  <cols>
    <col min="1" max="1" width="4.57421875" style="52" customWidth="1"/>
    <col min="2" max="2" width="38.140625" style="55" customWidth="1"/>
    <col min="3" max="3" width="11.7109375" style="54" bestFit="1" customWidth="1"/>
    <col min="4" max="4" width="11.421875" style="54" customWidth="1"/>
    <col min="5" max="5" width="10.8515625" style="54" bestFit="1" customWidth="1"/>
    <col min="6" max="6" width="11.421875" style="54" bestFit="1" customWidth="1"/>
    <col min="7" max="16384" width="11.421875" style="55" customWidth="1"/>
  </cols>
  <sheetData>
    <row r="1" spans="1:6" s="48" customFormat="1" ht="18.75">
      <c r="A1" s="181" t="s">
        <v>86</v>
      </c>
      <c r="B1" s="181"/>
      <c r="C1" s="181"/>
      <c r="D1" s="181"/>
      <c r="E1" s="181"/>
      <c r="F1" s="181"/>
    </row>
    <row r="2" spans="1:6" s="48" customFormat="1" ht="18.75">
      <c r="A2" s="181" t="s">
        <v>206</v>
      </c>
      <c r="B2" s="181"/>
      <c r="C2" s="181"/>
      <c r="D2" s="181"/>
      <c r="E2" s="181"/>
      <c r="F2" s="181"/>
    </row>
    <row r="3" spans="1:6" s="48" customFormat="1" ht="18.75">
      <c r="A3" s="181" t="s">
        <v>207</v>
      </c>
      <c r="B3" s="181"/>
      <c r="C3" s="181"/>
      <c r="D3" s="181"/>
      <c r="E3" s="181"/>
      <c r="F3" s="181"/>
    </row>
    <row r="5" spans="1:6" s="51" customFormat="1" ht="12.75">
      <c r="A5" s="49"/>
      <c r="B5" s="50" t="s">
        <v>0</v>
      </c>
      <c r="C5" s="182">
        <v>2019</v>
      </c>
      <c r="D5" s="183"/>
      <c r="E5" s="184">
        <v>2018</v>
      </c>
      <c r="F5" s="183"/>
    </row>
    <row r="6" ht="6" customHeight="1">
      <c r="B6" s="53"/>
    </row>
    <row r="7" spans="1:6" ht="12.75">
      <c r="A7" s="56" t="s">
        <v>87</v>
      </c>
      <c r="B7" s="57" t="s">
        <v>45</v>
      </c>
      <c r="C7" s="58"/>
      <c r="D7" s="59">
        <f>SUM('G&amp;VErl'!F16)</f>
        <v>10208000</v>
      </c>
      <c r="E7" s="58"/>
      <c r="F7" s="59">
        <v>8925000</v>
      </c>
    </row>
    <row r="8" spans="1:6" ht="7.5" customHeight="1">
      <c r="A8" s="60"/>
      <c r="B8" s="61"/>
      <c r="C8" s="62"/>
      <c r="D8" s="63"/>
      <c r="E8" s="62"/>
      <c r="F8" s="63"/>
    </row>
    <row r="9" spans="1:6" ht="12.75">
      <c r="A9" s="60" t="s">
        <v>88</v>
      </c>
      <c r="B9" s="64" t="s">
        <v>89</v>
      </c>
      <c r="C9" s="62"/>
      <c r="D9" s="63"/>
      <c r="E9" s="62"/>
      <c r="F9" s="63"/>
    </row>
    <row r="10" spans="1:6" ht="6" customHeight="1">
      <c r="A10" s="60"/>
      <c r="B10" s="61"/>
      <c r="C10" s="62"/>
      <c r="D10" s="63"/>
      <c r="E10" s="62"/>
      <c r="F10" s="63"/>
    </row>
    <row r="11" spans="1:6" ht="12.75">
      <c r="A11" s="60"/>
      <c r="B11" s="61" t="s">
        <v>90</v>
      </c>
      <c r="C11" s="62"/>
      <c r="D11" s="63">
        <f>SUM('G&amp;VErl'!F20)</f>
        <v>0</v>
      </c>
      <c r="E11" s="62"/>
      <c r="F11" s="63">
        <v>0</v>
      </c>
    </row>
    <row r="12" spans="1:6" ht="6" customHeight="1">
      <c r="A12" s="60"/>
      <c r="B12" s="61"/>
      <c r="C12" s="62"/>
      <c r="D12" s="63"/>
      <c r="E12" s="62"/>
      <c r="F12" s="63"/>
    </row>
    <row r="13" spans="1:16" s="51" customFormat="1" ht="12.75">
      <c r="A13" s="60" t="s">
        <v>91</v>
      </c>
      <c r="B13" s="64" t="s">
        <v>92</v>
      </c>
      <c r="C13" s="65"/>
      <c r="D13" s="66">
        <f>SUM(D7:D11)</f>
        <v>10208000</v>
      </c>
      <c r="E13" s="65"/>
      <c r="F13" s="66">
        <f>SUM(F7:F11)</f>
        <v>8925000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7.5" customHeight="1">
      <c r="A14" s="60"/>
      <c r="B14" s="61"/>
      <c r="C14" s="62"/>
      <c r="D14" s="63"/>
      <c r="E14" s="62"/>
      <c r="F14" s="63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6" ht="25.5">
      <c r="A15" s="60" t="s">
        <v>93</v>
      </c>
      <c r="B15" s="64" t="s">
        <v>79</v>
      </c>
      <c r="C15" s="62"/>
      <c r="D15" s="63"/>
      <c r="E15" s="62"/>
      <c r="F15" s="63"/>
    </row>
    <row r="16" spans="1:6" ht="6" customHeight="1">
      <c r="A16" s="60"/>
      <c r="B16" s="61"/>
      <c r="C16" s="62"/>
      <c r="D16" s="63"/>
      <c r="E16" s="62"/>
      <c r="F16" s="63"/>
    </row>
    <row r="17" spans="1:6" ht="12.75">
      <c r="A17" s="60"/>
      <c r="B17" s="61" t="s">
        <v>94</v>
      </c>
      <c r="C17" s="62">
        <f>SUM('G&amp;VErl'!F38)</f>
        <v>1168000</v>
      </c>
      <c r="D17" s="63"/>
      <c r="E17" s="62">
        <v>680000</v>
      </c>
      <c r="F17" s="63"/>
    </row>
    <row r="18" spans="1:16" ht="12.75">
      <c r="A18" s="60"/>
      <c r="B18" s="61" t="s">
        <v>95</v>
      </c>
      <c r="C18" s="68">
        <f>SUM('G&amp;VErl'!F54)</f>
        <v>5206000</v>
      </c>
      <c r="D18" s="63">
        <f>SUM(C17:C18)</f>
        <v>6374000</v>
      </c>
      <c r="E18" s="68">
        <v>4956000</v>
      </c>
      <c r="F18" s="63">
        <f>SUM(E17:E18)</f>
        <v>5636000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7.5" customHeight="1">
      <c r="A19" s="60"/>
      <c r="B19" s="61"/>
      <c r="C19" s="62"/>
      <c r="D19" s="63"/>
      <c r="E19" s="62"/>
      <c r="F19" s="63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12.75">
      <c r="A20" s="60" t="s">
        <v>96</v>
      </c>
      <c r="B20" s="64" t="s">
        <v>54</v>
      </c>
      <c r="C20" s="62"/>
      <c r="D20" s="63"/>
      <c r="E20" s="62"/>
      <c r="F20" s="63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6" ht="6" customHeight="1">
      <c r="A21" s="60"/>
      <c r="B21" s="61"/>
      <c r="C21" s="62"/>
      <c r="D21" s="63"/>
      <c r="E21" s="62"/>
      <c r="F21" s="63"/>
    </row>
    <row r="22" spans="1:6" ht="12.75">
      <c r="A22" s="60"/>
      <c r="B22" s="61" t="s">
        <v>97</v>
      </c>
      <c r="C22" s="62">
        <f>SUM('G&amp;VErl'!F57)</f>
        <v>695000</v>
      </c>
      <c r="D22" s="63"/>
      <c r="E22" s="62">
        <v>581000</v>
      </c>
      <c r="F22" s="63"/>
    </row>
    <row r="23" spans="1:6" ht="12.75">
      <c r="A23" s="60"/>
      <c r="B23" s="61" t="s">
        <v>98</v>
      </c>
      <c r="C23" s="62">
        <f>SUM('G&amp;VErl'!F58)</f>
        <v>2860000</v>
      </c>
      <c r="D23" s="63"/>
      <c r="E23" s="62">
        <v>2677000</v>
      </c>
      <c r="F23" s="63"/>
    </row>
    <row r="24" spans="1:6" ht="12.75">
      <c r="A24" s="60"/>
      <c r="B24" s="61" t="s">
        <v>99</v>
      </c>
      <c r="C24" s="62">
        <f>SUM('G&amp;VErl'!F59)</f>
        <v>80000</v>
      </c>
      <c r="D24" s="63"/>
      <c r="E24" s="62">
        <v>113000</v>
      </c>
      <c r="F24" s="63"/>
    </row>
    <row r="25" spans="1:6" ht="12.75">
      <c r="A25" s="60"/>
      <c r="B25" s="61" t="s">
        <v>100</v>
      </c>
      <c r="C25" s="62"/>
      <c r="D25" s="63"/>
      <c r="E25" s="62"/>
      <c r="F25" s="63"/>
    </row>
    <row r="26" spans="1:6" ht="12.75">
      <c r="A26" s="60"/>
      <c r="B26" s="61" t="s">
        <v>101</v>
      </c>
      <c r="C26" s="62"/>
      <c r="D26" s="63"/>
      <c r="E26" s="62"/>
      <c r="F26" s="63"/>
    </row>
    <row r="27" spans="1:6" ht="12.75">
      <c r="A27" s="60"/>
      <c r="B27" s="61" t="s">
        <v>102</v>
      </c>
      <c r="C27" s="62">
        <f>SUM('G&amp;VErl'!F61)</f>
        <v>995000</v>
      </c>
      <c r="D27" s="63"/>
      <c r="E27" s="62">
        <v>919000</v>
      </c>
      <c r="F27" s="63"/>
    </row>
    <row r="28" spans="1:6" ht="12.75">
      <c r="A28" s="60"/>
      <c r="B28" s="61" t="s">
        <v>103</v>
      </c>
      <c r="C28" s="68">
        <f>SUM('G&amp;VErl'!F62)</f>
        <v>8000</v>
      </c>
      <c r="D28" s="63">
        <f>SUM(C22:C28)</f>
        <v>4638000</v>
      </c>
      <c r="E28" s="68">
        <v>8000</v>
      </c>
      <c r="F28" s="63">
        <f>SUM(E22:E28)</f>
        <v>4298000</v>
      </c>
    </row>
    <row r="29" spans="1:6" ht="7.5" customHeight="1">
      <c r="A29" s="60"/>
      <c r="B29" s="61"/>
      <c r="C29" s="62"/>
      <c r="D29" s="63"/>
      <c r="E29" s="62"/>
      <c r="F29" s="63"/>
    </row>
    <row r="30" spans="1:6" ht="12.75">
      <c r="A30" s="60" t="s">
        <v>104</v>
      </c>
      <c r="B30" s="64" t="s">
        <v>20</v>
      </c>
      <c r="C30" s="62"/>
      <c r="D30" s="63"/>
      <c r="E30" s="62"/>
      <c r="F30" s="63"/>
    </row>
    <row r="31" spans="1:6" ht="6" customHeight="1">
      <c r="A31" s="60"/>
      <c r="B31" s="61"/>
      <c r="C31" s="62"/>
      <c r="D31" s="63"/>
      <c r="E31" s="62"/>
      <c r="F31" s="63"/>
    </row>
    <row r="32" spans="1:6" ht="12.75">
      <c r="A32" s="60"/>
      <c r="B32" s="61" t="s">
        <v>105</v>
      </c>
      <c r="C32" s="62"/>
      <c r="D32" s="63"/>
      <c r="E32" s="62"/>
      <c r="F32" s="63"/>
    </row>
    <row r="33" spans="1:6" ht="12.75">
      <c r="A33" s="60"/>
      <c r="B33" s="61" t="s">
        <v>106</v>
      </c>
      <c r="C33" s="62"/>
      <c r="D33" s="63"/>
      <c r="E33" s="62"/>
      <c r="F33" s="63"/>
    </row>
    <row r="34" spans="1:6" ht="6" customHeight="1">
      <c r="A34" s="60"/>
      <c r="B34" s="61"/>
      <c r="C34" s="62"/>
      <c r="D34" s="63"/>
      <c r="E34" s="62"/>
      <c r="F34" s="63"/>
    </row>
    <row r="35" spans="1:6" ht="12.75">
      <c r="A35" s="60"/>
      <c r="B35" s="61" t="s">
        <v>107</v>
      </c>
      <c r="C35" s="62"/>
      <c r="D35" s="63">
        <f>SUM('G&amp;VErl'!F67)</f>
        <v>242000</v>
      </c>
      <c r="E35" s="62"/>
      <c r="F35" s="63">
        <v>242000</v>
      </c>
    </row>
    <row r="36" spans="1:6" ht="7.5" customHeight="1">
      <c r="A36" s="60"/>
      <c r="B36" s="61"/>
      <c r="C36" s="62"/>
      <c r="D36" s="63"/>
      <c r="E36" s="62"/>
      <c r="F36" s="63"/>
    </row>
    <row r="37" spans="1:6" ht="12.75">
      <c r="A37" s="60" t="s">
        <v>108</v>
      </c>
      <c r="B37" s="64" t="s">
        <v>85</v>
      </c>
      <c r="C37" s="62"/>
      <c r="D37" s="63"/>
      <c r="E37" s="62"/>
      <c r="F37" s="63"/>
    </row>
    <row r="38" spans="1:6" ht="6" customHeight="1">
      <c r="A38" s="60"/>
      <c r="B38" s="61"/>
      <c r="C38" s="62"/>
      <c r="D38" s="63"/>
      <c r="E38" s="62"/>
      <c r="F38" s="63"/>
    </row>
    <row r="39" spans="1:6" ht="12.75">
      <c r="A39" s="60"/>
      <c r="B39" s="61" t="s">
        <v>109</v>
      </c>
      <c r="C39" s="62">
        <f>SUM('G&amp;VErl'!F72)</f>
        <v>91000</v>
      </c>
      <c r="D39" s="63"/>
      <c r="E39" s="62">
        <v>85000</v>
      </c>
      <c r="F39" s="63"/>
    </row>
    <row r="40" spans="1:6" ht="12.75">
      <c r="A40" s="60"/>
      <c r="B40" s="61" t="s">
        <v>110</v>
      </c>
      <c r="C40" s="68">
        <f>SUM('G&amp;VErl'!F108)</f>
        <v>4486000</v>
      </c>
      <c r="D40" s="63">
        <f>SUM(C39:C40)</f>
        <v>4577000</v>
      </c>
      <c r="E40" s="68">
        <v>4037000</v>
      </c>
      <c r="F40" s="63">
        <f>SUM(E39:E40)</f>
        <v>4122000</v>
      </c>
    </row>
    <row r="41" spans="1:6" ht="7.5" customHeight="1">
      <c r="A41" s="60"/>
      <c r="B41" s="61"/>
      <c r="C41" s="62"/>
      <c r="D41" s="63"/>
      <c r="E41" s="62"/>
      <c r="F41" s="63"/>
    </row>
    <row r="42" spans="1:6" s="51" customFormat="1" ht="25.5">
      <c r="A42" s="72" t="s">
        <v>111</v>
      </c>
      <c r="B42" s="73" t="s">
        <v>112</v>
      </c>
      <c r="C42" s="74"/>
      <c r="D42" s="75">
        <f>D13-D18-D28-D35-D40</f>
        <v>-5623000</v>
      </c>
      <c r="E42" s="74"/>
      <c r="F42" s="75">
        <f>F13-F18-F28-F35-F40</f>
        <v>-5373000</v>
      </c>
    </row>
    <row r="43" spans="1:6" s="79" customFormat="1" ht="39.75" customHeight="1">
      <c r="A43" s="77"/>
      <c r="B43" s="61"/>
      <c r="C43" s="78"/>
      <c r="D43" s="78"/>
      <c r="E43" s="78"/>
      <c r="F43" s="78"/>
    </row>
    <row r="44" spans="1:6" ht="12.75">
      <c r="A44" s="56" t="s">
        <v>113</v>
      </c>
      <c r="B44" s="57" t="s">
        <v>34</v>
      </c>
      <c r="C44" s="58"/>
      <c r="D44" s="59">
        <f>SUM('G&amp;VErl'!F110)</f>
        <v>1000</v>
      </c>
      <c r="E44" s="58"/>
      <c r="F44" s="59">
        <v>1000</v>
      </c>
    </row>
    <row r="45" spans="1:6" ht="6" customHeight="1">
      <c r="A45" s="60"/>
      <c r="B45" s="61"/>
      <c r="C45" s="62"/>
      <c r="D45" s="63"/>
      <c r="E45" s="62"/>
      <c r="F45" s="63"/>
    </row>
    <row r="46" spans="1:6" ht="12.75">
      <c r="A46" s="60" t="s">
        <v>114</v>
      </c>
      <c r="B46" s="64" t="s">
        <v>35</v>
      </c>
      <c r="C46" s="62"/>
      <c r="D46" s="69">
        <f>'G&amp;VErl'!F111</f>
        <v>0</v>
      </c>
      <c r="E46" s="62"/>
      <c r="F46" s="69">
        <f>SUM('G&amp;VErl'!G111)</f>
        <v>0</v>
      </c>
    </row>
    <row r="47" spans="1:6" ht="7.5" customHeight="1">
      <c r="A47" s="60"/>
      <c r="B47" s="61"/>
      <c r="C47" s="62"/>
      <c r="D47" s="63"/>
      <c r="E47" s="62"/>
      <c r="F47" s="63"/>
    </row>
    <row r="48" spans="1:6" s="51" customFormat="1" ht="25.5">
      <c r="A48" s="60" t="s">
        <v>115</v>
      </c>
      <c r="B48" s="64" t="s">
        <v>116</v>
      </c>
      <c r="C48" s="65"/>
      <c r="D48" s="66">
        <f>D44-D46</f>
        <v>1000</v>
      </c>
      <c r="E48" s="65"/>
      <c r="F48" s="66">
        <f>F44-F46</f>
        <v>1000</v>
      </c>
    </row>
    <row r="49" spans="1:6" ht="7.5" customHeight="1">
      <c r="A49" s="60"/>
      <c r="B49" s="61"/>
      <c r="C49" s="62"/>
      <c r="D49" s="63"/>
      <c r="E49" s="62"/>
      <c r="F49" s="63"/>
    </row>
    <row r="50" spans="1:6" s="51" customFormat="1" ht="25.5">
      <c r="A50" s="60" t="s">
        <v>117</v>
      </c>
      <c r="B50" s="64" t="s">
        <v>196</v>
      </c>
      <c r="C50" s="65"/>
      <c r="D50" s="66">
        <f>D42+D48</f>
        <v>-5622000</v>
      </c>
      <c r="E50" s="65"/>
      <c r="F50" s="66">
        <f>F42+F48</f>
        <v>-5372000</v>
      </c>
    </row>
    <row r="51" spans="1:6" ht="7.5" customHeight="1">
      <c r="A51" s="60"/>
      <c r="B51" s="61"/>
      <c r="C51" s="62"/>
      <c r="D51" s="63"/>
      <c r="E51" s="62"/>
      <c r="F51" s="63"/>
    </row>
    <row r="52" spans="1:6" ht="12.75">
      <c r="A52" s="70" t="s">
        <v>118</v>
      </c>
      <c r="B52" s="61" t="s">
        <v>76</v>
      </c>
      <c r="C52" s="62"/>
      <c r="D52" s="63"/>
      <c r="E52" s="62"/>
      <c r="F52" s="63"/>
    </row>
    <row r="53" spans="1:6" ht="12.75">
      <c r="A53" s="70"/>
      <c r="B53" s="61" t="s">
        <v>77</v>
      </c>
      <c r="C53" s="62">
        <f>SUM('G&amp;VErl'!F118)</f>
        <v>20000</v>
      </c>
      <c r="D53" s="63"/>
      <c r="E53" s="62">
        <v>20000</v>
      </c>
      <c r="F53" s="63"/>
    </row>
    <row r="54" spans="1:9" ht="12.75">
      <c r="A54" s="70"/>
      <c r="B54" s="61" t="s">
        <v>78</v>
      </c>
      <c r="C54" s="68">
        <v>0</v>
      </c>
      <c r="D54" s="63">
        <f>SUM(C53:C54)</f>
        <v>20000</v>
      </c>
      <c r="E54" s="68">
        <v>0</v>
      </c>
      <c r="F54" s="63">
        <f>SUM(E53:E54)</f>
        <v>20000</v>
      </c>
      <c r="I54" s="54"/>
    </row>
    <row r="55" spans="1:6" ht="7.5" customHeight="1">
      <c r="A55" s="60"/>
      <c r="B55" s="61"/>
      <c r="C55" s="62"/>
      <c r="D55" s="63"/>
      <c r="E55" s="62"/>
      <c r="F55" s="63"/>
    </row>
    <row r="56" spans="1:8" s="51" customFormat="1" ht="12.75">
      <c r="A56" s="60" t="s">
        <v>119</v>
      </c>
      <c r="B56" s="64" t="s">
        <v>198</v>
      </c>
      <c r="C56" s="65"/>
      <c r="D56" s="66">
        <f>D50-D54</f>
        <v>-5642000</v>
      </c>
      <c r="E56" s="65"/>
      <c r="F56" s="66">
        <f>F50-F54</f>
        <v>-5392000</v>
      </c>
      <c r="G56" s="67"/>
      <c r="H56" s="67"/>
    </row>
    <row r="57" spans="1:6" ht="7.5" customHeight="1">
      <c r="A57" s="60"/>
      <c r="B57" s="61"/>
      <c r="C57" s="62"/>
      <c r="D57" s="63"/>
      <c r="E57" s="62"/>
      <c r="F57" s="63"/>
    </row>
    <row r="58" spans="1:8" ht="25.5">
      <c r="A58" s="70" t="s">
        <v>120</v>
      </c>
      <c r="B58" s="61" t="s">
        <v>121</v>
      </c>
      <c r="C58" s="62">
        <f>(D56+C59+C61+C60)*-1</f>
        <v>3805000</v>
      </c>
      <c r="D58" s="63"/>
      <c r="E58" s="62">
        <v>3532000</v>
      </c>
      <c r="F58" s="63"/>
      <c r="G58" s="54"/>
      <c r="H58" s="71"/>
    </row>
    <row r="59" spans="1:7" ht="12.75">
      <c r="A59" s="70"/>
      <c r="B59" s="61" t="s">
        <v>122</v>
      </c>
      <c r="C59" s="62">
        <f>SUM('G&amp;VErl'!F75:F76)</f>
        <v>1295000</v>
      </c>
      <c r="D59" s="63"/>
      <c r="E59" s="62">
        <v>1318000</v>
      </c>
      <c r="F59" s="63"/>
      <c r="G59" s="54"/>
    </row>
    <row r="60" spans="1:10" ht="12.75">
      <c r="A60" s="70"/>
      <c r="B60" s="61" t="s">
        <v>162</v>
      </c>
      <c r="C60" s="62">
        <v>300000</v>
      </c>
      <c r="D60" s="63"/>
      <c r="E60" s="62">
        <v>300000</v>
      </c>
      <c r="F60" s="63"/>
      <c r="G60" s="54"/>
      <c r="H60" s="54"/>
      <c r="J60" s="54"/>
    </row>
    <row r="61" spans="1:9" ht="12.75">
      <c r="A61" s="70"/>
      <c r="B61" s="61" t="s">
        <v>123</v>
      </c>
      <c r="C61" s="68">
        <f>D35</f>
        <v>242000</v>
      </c>
      <c r="D61" s="63">
        <f>SUM(C58:C61)</f>
        <v>5642000</v>
      </c>
      <c r="E61" s="68">
        <v>242000</v>
      </c>
      <c r="F61" s="63">
        <f>SUM(E58:E61)</f>
        <v>5392000</v>
      </c>
      <c r="G61" s="54"/>
      <c r="H61" s="54"/>
      <c r="I61" s="54"/>
    </row>
    <row r="62" spans="1:9" ht="12.75">
      <c r="A62" s="70"/>
      <c r="B62" s="61"/>
      <c r="C62" s="62"/>
      <c r="D62" s="63"/>
      <c r="E62" s="62"/>
      <c r="F62" s="63"/>
      <c r="G62" s="54"/>
      <c r="I62" s="54"/>
    </row>
    <row r="63" spans="1:6" ht="12.75">
      <c r="A63" s="70" t="s">
        <v>124</v>
      </c>
      <c r="B63" s="61" t="s">
        <v>125</v>
      </c>
      <c r="C63" s="62"/>
      <c r="D63" s="63">
        <v>33448</v>
      </c>
      <c r="E63" s="62"/>
      <c r="F63" s="63">
        <v>33448</v>
      </c>
    </row>
    <row r="64" spans="1:6" ht="7.5" customHeight="1">
      <c r="A64" s="60"/>
      <c r="B64" s="61"/>
      <c r="C64" s="62"/>
      <c r="D64" s="63"/>
      <c r="E64" s="62"/>
      <c r="F64" s="63"/>
    </row>
    <row r="65" spans="1:9" s="51" customFormat="1" ht="12.75">
      <c r="A65" s="72" t="s">
        <v>126</v>
      </c>
      <c r="B65" s="73" t="s">
        <v>127</v>
      </c>
      <c r="C65" s="74"/>
      <c r="D65" s="75">
        <f>D56+D61+D63</f>
        <v>33448</v>
      </c>
      <c r="E65" s="74"/>
      <c r="F65" s="75">
        <f>F56+F61+F63</f>
        <v>33448</v>
      </c>
      <c r="H65" s="67"/>
      <c r="I65" s="67"/>
    </row>
    <row r="66" ht="12.75">
      <c r="B66" s="53"/>
    </row>
    <row r="67" spans="2:9" ht="12.75">
      <c r="B67" s="76"/>
      <c r="I67" s="54"/>
    </row>
    <row r="68" ht="12.75">
      <c r="B68" s="53"/>
    </row>
    <row r="69" spans="2:9" ht="12.75">
      <c r="B69" s="53"/>
      <c r="I69" s="54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</sheetData>
  <sheetProtection/>
  <mergeCells count="5">
    <mergeCell ref="A1:F1"/>
    <mergeCell ref="A2:F2"/>
    <mergeCell ref="A3:F3"/>
    <mergeCell ref="C5:D5"/>
    <mergeCell ref="E5:F5"/>
  </mergeCells>
  <printOptions horizontalCentered="1" verticalCentered="1"/>
  <pageMargins left="0.6299212598425197" right="0.5905511811023623" top="0.6299212598425197" bottom="0.7086614173228347" header="0.5118110236220472" footer="0.5118110236220472"/>
  <pageSetup firstPageNumber="7" useFirstPageNumber="1" horizontalDpi="600" verticalDpi="600" orientation="landscape" paperSize="9" scale="95" r:id="rId1"/>
  <headerFooter alignWithMargins="0">
    <oddHeader>&amp;RSeite 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L27" sqref="L27"/>
    </sheetView>
  </sheetViews>
  <sheetFormatPr defaultColWidth="11.421875" defaultRowHeight="12.75"/>
  <cols>
    <col min="1" max="1" width="3.7109375" style="82" customWidth="1"/>
    <col min="2" max="2" width="41.57421875" style="82" customWidth="1"/>
    <col min="3" max="4" width="10.57421875" style="82" customWidth="1"/>
    <col min="5" max="6" width="3.7109375" style="82" customWidth="1"/>
    <col min="7" max="7" width="40.7109375" style="82" customWidth="1"/>
    <col min="8" max="9" width="10.57421875" style="82" customWidth="1"/>
    <col min="10" max="12" width="11.421875" style="82" customWidth="1"/>
    <col min="13" max="13" width="4.421875" style="82" bestFit="1" customWidth="1"/>
    <col min="14" max="14" width="4.140625" style="82" bestFit="1" customWidth="1"/>
    <col min="15" max="15" width="4.421875" style="82" bestFit="1" customWidth="1"/>
    <col min="16" max="16" width="3.57421875" style="82" bestFit="1" customWidth="1"/>
    <col min="17" max="17" width="4.421875" style="82" bestFit="1" customWidth="1"/>
    <col min="18" max="18" width="4.140625" style="82" bestFit="1" customWidth="1"/>
    <col min="19" max="19" width="4.421875" style="82" bestFit="1" customWidth="1"/>
    <col min="20" max="20" width="3.57421875" style="82" bestFit="1" customWidth="1"/>
    <col min="21" max="21" width="4.421875" style="82" bestFit="1" customWidth="1"/>
    <col min="22" max="16384" width="11.421875" style="82" customWidth="1"/>
  </cols>
  <sheetData>
    <row r="1" spans="1:9" s="80" customFormat="1" ht="21">
      <c r="A1" s="185" t="s">
        <v>86</v>
      </c>
      <c r="B1" s="185"/>
      <c r="C1" s="185"/>
      <c r="D1" s="185"/>
      <c r="E1" s="185"/>
      <c r="F1" s="185"/>
      <c r="G1" s="185"/>
      <c r="H1" s="185"/>
      <c r="I1" s="185"/>
    </row>
    <row r="2" spans="1:9" s="80" customFormat="1" ht="21">
      <c r="A2" s="185" t="s">
        <v>202</v>
      </c>
      <c r="B2" s="185"/>
      <c r="C2" s="185"/>
      <c r="D2" s="185"/>
      <c r="E2" s="185"/>
      <c r="F2" s="185"/>
      <c r="G2" s="185"/>
      <c r="H2" s="185"/>
      <c r="I2" s="185"/>
    </row>
    <row r="3" spans="1:9" ht="12.75">
      <c r="A3" s="81"/>
      <c r="B3" s="64"/>
      <c r="C3" s="81"/>
      <c r="D3" s="81"/>
      <c r="E3" s="81"/>
      <c r="F3" s="81"/>
      <c r="G3" s="64"/>
      <c r="H3" s="81"/>
      <c r="I3" s="81"/>
    </row>
    <row r="4" spans="1:9" ht="12.75">
      <c r="A4" s="79"/>
      <c r="B4" s="61"/>
      <c r="C4" s="79"/>
      <c r="D4" s="79"/>
      <c r="E4" s="79"/>
      <c r="F4" s="79"/>
      <c r="G4" s="61"/>
      <c r="H4" s="79"/>
      <c r="I4" s="79"/>
    </row>
    <row r="5" spans="1:9" ht="12.75">
      <c r="A5" s="83"/>
      <c r="B5" s="50" t="s">
        <v>128</v>
      </c>
      <c r="C5" s="84">
        <v>43830</v>
      </c>
      <c r="D5" s="84">
        <v>43465</v>
      </c>
      <c r="E5" s="81"/>
      <c r="F5" s="83"/>
      <c r="G5" s="50" t="s">
        <v>129</v>
      </c>
      <c r="H5" s="84">
        <v>43830</v>
      </c>
      <c r="I5" s="84">
        <v>43465</v>
      </c>
    </row>
    <row r="6" spans="1:9" ht="6" customHeight="1">
      <c r="A6" s="79"/>
      <c r="B6" s="61"/>
      <c r="C6" s="85"/>
      <c r="D6" s="85"/>
      <c r="E6" s="79"/>
      <c r="F6" s="79"/>
      <c r="G6" s="61"/>
      <c r="H6" s="85"/>
      <c r="I6" s="85"/>
    </row>
    <row r="7" spans="1:9" ht="12.75">
      <c r="A7" s="56" t="s">
        <v>130</v>
      </c>
      <c r="B7" s="57" t="s">
        <v>131</v>
      </c>
      <c r="C7" s="86"/>
      <c r="D7" s="87"/>
      <c r="E7" s="79"/>
      <c r="F7" s="56" t="s">
        <v>130</v>
      </c>
      <c r="G7" s="57" t="s">
        <v>132</v>
      </c>
      <c r="H7" s="86"/>
      <c r="I7" s="86"/>
    </row>
    <row r="8" spans="1:9" ht="12.75">
      <c r="A8" s="60" t="s">
        <v>133</v>
      </c>
      <c r="B8" s="64" t="s">
        <v>134</v>
      </c>
      <c r="C8" s="88"/>
      <c r="D8" s="89"/>
      <c r="E8" s="81"/>
      <c r="F8" s="90" t="s">
        <v>133</v>
      </c>
      <c r="G8" s="91" t="s">
        <v>200</v>
      </c>
      <c r="H8" s="88">
        <v>1000000</v>
      </c>
      <c r="I8" s="88">
        <v>1000000</v>
      </c>
    </row>
    <row r="9" spans="1:10" ht="12.75">
      <c r="A9" s="70" t="s">
        <v>87</v>
      </c>
      <c r="B9" s="61" t="s">
        <v>137</v>
      </c>
      <c r="C9" s="88">
        <v>380000</v>
      </c>
      <c r="D9" s="88">
        <v>409000</v>
      </c>
      <c r="E9" s="79"/>
      <c r="F9" s="70" t="s">
        <v>135</v>
      </c>
      <c r="G9" s="79" t="s">
        <v>136</v>
      </c>
      <c r="H9" s="92">
        <f>869000+430000-300000</f>
        <v>999000</v>
      </c>
      <c r="I9" s="93">
        <v>869000</v>
      </c>
      <c r="J9" s="94"/>
    </row>
    <row r="10" spans="1:10" ht="12.75">
      <c r="A10" s="70"/>
      <c r="B10" s="61"/>
      <c r="C10" s="88"/>
      <c r="D10" s="88"/>
      <c r="E10" s="95"/>
      <c r="F10" s="70" t="s">
        <v>135</v>
      </c>
      <c r="G10" s="79" t="s">
        <v>127</v>
      </c>
      <c r="H10" s="93">
        <v>33448</v>
      </c>
      <c r="I10" s="93">
        <v>33448</v>
      </c>
      <c r="J10" s="94"/>
    </row>
    <row r="11" spans="1:9" ht="12.75">
      <c r="A11" s="60" t="s">
        <v>135</v>
      </c>
      <c r="B11" s="64" t="s">
        <v>138</v>
      </c>
      <c r="C11" s="88"/>
      <c r="D11" s="88"/>
      <c r="E11" s="95"/>
      <c r="F11" s="70"/>
      <c r="G11" s="79"/>
      <c r="H11" s="93"/>
      <c r="I11" s="93"/>
    </row>
    <row r="12" spans="1:9" ht="12.75">
      <c r="A12" s="70" t="s">
        <v>87</v>
      </c>
      <c r="B12" s="61" t="s">
        <v>139</v>
      </c>
      <c r="C12" s="88">
        <v>53000</v>
      </c>
      <c r="D12" s="88">
        <v>61000</v>
      </c>
      <c r="E12" s="95"/>
      <c r="F12" s="70"/>
      <c r="G12" s="81" t="s">
        <v>193</v>
      </c>
      <c r="H12" s="96">
        <f>SUM(H8:H10)</f>
        <v>2032448</v>
      </c>
      <c r="I12" s="96">
        <f>SUM(I8:I10)</f>
        <v>1902448</v>
      </c>
    </row>
    <row r="13" spans="1:9" ht="12.75">
      <c r="A13" s="70" t="s">
        <v>88</v>
      </c>
      <c r="B13" s="61" t="s">
        <v>141</v>
      </c>
      <c r="C13" s="88">
        <v>0</v>
      </c>
      <c r="D13" s="88">
        <v>0</v>
      </c>
      <c r="E13" s="95"/>
      <c r="F13" s="97"/>
      <c r="G13" s="98"/>
      <c r="H13" s="88"/>
      <c r="I13" s="88"/>
    </row>
    <row r="14" spans="1:10" ht="12.75">
      <c r="A14" s="70" t="s">
        <v>91</v>
      </c>
      <c r="B14" s="61" t="s">
        <v>142</v>
      </c>
      <c r="C14" s="88">
        <v>1207000</v>
      </c>
      <c r="D14" s="88">
        <f>1130000+100000</f>
        <v>1230000</v>
      </c>
      <c r="E14" s="95"/>
      <c r="F14" s="99" t="s">
        <v>140</v>
      </c>
      <c r="G14" s="100" t="s">
        <v>144</v>
      </c>
      <c r="H14" s="88"/>
      <c r="I14" s="88"/>
      <c r="J14" s="101"/>
    </row>
    <row r="15" spans="1:9" ht="12.75">
      <c r="A15" s="70"/>
      <c r="B15" s="61"/>
      <c r="C15" s="88"/>
      <c r="D15" s="88"/>
      <c r="E15" s="95"/>
      <c r="F15" s="90" t="s">
        <v>87</v>
      </c>
      <c r="G15" s="91" t="s">
        <v>145</v>
      </c>
      <c r="H15" s="102">
        <f>494000+28000</f>
        <v>522000</v>
      </c>
      <c r="I15" s="88">
        <v>494000</v>
      </c>
    </row>
    <row r="16" spans="1:9" ht="12.75">
      <c r="A16" s="60"/>
      <c r="B16" s="64" t="s">
        <v>143</v>
      </c>
      <c r="C16" s="103">
        <f>SUM(C9:C14)</f>
        <v>1640000</v>
      </c>
      <c r="D16" s="103">
        <f>SUM(D9:D14)</f>
        <v>1700000</v>
      </c>
      <c r="E16" s="95"/>
      <c r="F16" s="104" t="s">
        <v>88</v>
      </c>
      <c r="G16" s="82" t="s">
        <v>147</v>
      </c>
      <c r="H16" s="102">
        <f>234000+8000</f>
        <v>242000</v>
      </c>
      <c r="I16" s="88">
        <v>234000</v>
      </c>
    </row>
    <row r="17" spans="1:9" ht="12.75">
      <c r="A17" s="60"/>
      <c r="B17" s="64"/>
      <c r="C17" s="103"/>
      <c r="D17" s="103"/>
      <c r="E17" s="95"/>
      <c r="F17" s="104"/>
      <c r="H17" s="105"/>
      <c r="I17" s="106"/>
    </row>
    <row r="18" spans="1:9" ht="12.75">
      <c r="A18" s="60" t="s">
        <v>140</v>
      </c>
      <c r="B18" s="64" t="s">
        <v>146</v>
      </c>
      <c r="C18" s="88"/>
      <c r="D18" s="88"/>
      <c r="E18" s="95"/>
      <c r="F18" s="104"/>
      <c r="G18" s="98" t="s">
        <v>194</v>
      </c>
      <c r="H18" s="107">
        <f>SUM(H15:H16)</f>
        <v>764000</v>
      </c>
      <c r="I18" s="107">
        <f>SUM(I15:I16)</f>
        <v>728000</v>
      </c>
    </row>
    <row r="19" spans="1:9" ht="12.75">
      <c r="A19" s="60" t="s">
        <v>133</v>
      </c>
      <c r="B19" s="64" t="s">
        <v>149</v>
      </c>
      <c r="C19" s="102"/>
      <c r="D19" s="102"/>
      <c r="E19" s="95"/>
      <c r="F19" s="99"/>
      <c r="G19" s="100"/>
      <c r="H19" s="102"/>
      <c r="I19" s="88"/>
    </row>
    <row r="20" spans="1:9" ht="12.75">
      <c r="A20" s="70" t="s">
        <v>87</v>
      </c>
      <c r="B20" s="61" t="s">
        <v>151</v>
      </c>
      <c r="C20" s="102">
        <v>939000</v>
      </c>
      <c r="D20" s="102">
        <v>855000</v>
      </c>
      <c r="E20" s="95"/>
      <c r="F20" s="99" t="s">
        <v>205</v>
      </c>
      <c r="G20" s="100" t="s">
        <v>148</v>
      </c>
      <c r="H20" s="102"/>
      <c r="I20" s="88"/>
    </row>
    <row r="21" spans="1:11" ht="12.75">
      <c r="A21" s="70" t="s">
        <v>88</v>
      </c>
      <c r="B21" s="61" t="s">
        <v>153</v>
      </c>
      <c r="C21" s="102">
        <v>241000</v>
      </c>
      <c r="D21" s="102">
        <v>220000</v>
      </c>
      <c r="E21" s="95"/>
      <c r="F21" s="90" t="s">
        <v>87</v>
      </c>
      <c r="G21" s="91" t="s">
        <v>150</v>
      </c>
      <c r="H21" s="102">
        <v>200000</v>
      </c>
      <c r="I21" s="88">
        <v>200000</v>
      </c>
      <c r="K21" s="94"/>
    </row>
    <row r="22" spans="1:9" ht="12.75">
      <c r="A22" s="70"/>
      <c r="B22" s="61"/>
      <c r="C22" s="102"/>
      <c r="D22" s="102"/>
      <c r="E22" s="95"/>
      <c r="F22" s="90" t="s">
        <v>88</v>
      </c>
      <c r="G22" s="91" t="s">
        <v>152</v>
      </c>
      <c r="H22" s="102">
        <v>925000</v>
      </c>
      <c r="I22" s="88">
        <v>843000</v>
      </c>
    </row>
    <row r="23" spans="1:9" ht="12.75">
      <c r="A23" s="60" t="s">
        <v>135</v>
      </c>
      <c r="B23" s="64" t="s">
        <v>155</v>
      </c>
      <c r="C23" s="102"/>
      <c r="D23" s="102"/>
      <c r="E23" s="95"/>
      <c r="F23" s="90" t="s">
        <v>91</v>
      </c>
      <c r="G23" s="91" t="s">
        <v>154</v>
      </c>
      <c r="H23" s="102">
        <v>245000</v>
      </c>
      <c r="I23" s="93">
        <v>223000</v>
      </c>
    </row>
    <row r="24" spans="1:9" ht="12.75">
      <c r="A24" s="60"/>
      <c r="B24" s="61" t="s">
        <v>156</v>
      </c>
      <c r="C24" s="102">
        <v>26000</v>
      </c>
      <c r="D24" s="102">
        <v>25000</v>
      </c>
      <c r="E24" s="95"/>
      <c r="F24" s="99"/>
      <c r="G24" s="100"/>
      <c r="H24" s="88"/>
      <c r="I24" s="88"/>
    </row>
    <row r="25" spans="1:9" ht="12.75">
      <c r="A25" s="70"/>
      <c r="B25" s="61" t="s">
        <v>157</v>
      </c>
      <c r="C25" s="102">
        <v>1160448</v>
      </c>
      <c r="D25" s="102">
        <f>1136448-100000-100000</f>
        <v>936448</v>
      </c>
      <c r="E25" s="95"/>
      <c r="F25" s="90"/>
      <c r="G25" s="100" t="s">
        <v>195</v>
      </c>
      <c r="H25" s="103">
        <f>SUM(H21:H23)</f>
        <v>1370000</v>
      </c>
      <c r="I25" s="103">
        <f>SUM(I21:I23)</f>
        <v>1266000</v>
      </c>
    </row>
    <row r="26" spans="1:9" ht="12.75">
      <c r="A26" s="70"/>
      <c r="B26" s="61"/>
      <c r="C26" s="88"/>
      <c r="D26" s="88"/>
      <c r="E26" s="95"/>
      <c r="F26" s="90"/>
      <c r="G26" s="91"/>
      <c r="H26" s="88"/>
      <c r="I26" s="88"/>
    </row>
    <row r="27" spans="1:9" ht="12.75">
      <c r="A27" s="70"/>
      <c r="B27" s="64" t="s">
        <v>192</v>
      </c>
      <c r="C27" s="103">
        <f>SUM(C20:C26)</f>
        <v>2366448</v>
      </c>
      <c r="D27" s="103">
        <f>SUM(D20:D26)</f>
        <v>2036448</v>
      </c>
      <c r="E27" s="95"/>
      <c r="F27" s="90"/>
      <c r="G27" s="91"/>
      <c r="H27" s="88"/>
      <c r="I27" s="88"/>
    </row>
    <row r="28" spans="1:9" ht="12.75">
      <c r="A28" s="70"/>
      <c r="B28" s="61"/>
      <c r="C28" s="102"/>
      <c r="D28" s="102"/>
      <c r="E28" s="95"/>
      <c r="F28" s="90"/>
      <c r="G28" s="91"/>
      <c r="H28" s="93"/>
      <c r="I28" s="93"/>
    </row>
    <row r="29" spans="1:13" ht="12.75">
      <c r="A29" s="60" t="s">
        <v>203</v>
      </c>
      <c r="B29" s="64" t="s">
        <v>204</v>
      </c>
      <c r="C29" s="103">
        <v>160000</v>
      </c>
      <c r="D29" s="103">
        <v>160000</v>
      </c>
      <c r="E29" s="95"/>
      <c r="F29" s="90"/>
      <c r="G29" s="108"/>
      <c r="H29" s="88"/>
      <c r="I29" s="88"/>
      <c r="K29" s="101"/>
      <c r="L29" s="101"/>
      <c r="M29" s="101"/>
    </row>
    <row r="30" spans="1:9" ht="12.75">
      <c r="A30" s="60"/>
      <c r="B30" s="64"/>
      <c r="C30" s="103"/>
      <c r="D30" s="103"/>
      <c r="E30" s="95"/>
      <c r="F30" s="90"/>
      <c r="G30" s="91"/>
      <c r="H30" s="93"/>
      <c r="I30" s="93"/>
    </row>
    <row r="31" spans="1:9" ht="12.75">
      <c r="A31" s="70"/>
      <c r="B31" s="61"/>
      <c r="C31" s="88"/>
      <c r="D31" s="88"/>
      <c r="E31" s="95"/>
      <c r="F31" s="109"/>
      <c r="H31" s="110"/>
      <c r="I31" s="106"/>
    </row>
    <row r="32" spans="1:9" ht="12.75">
      <c r="A32" s="111"/>
      <c r="B32" s="73"/>
      <c r="C32" s="112"/>
      <c r="D32" s="112"/>
      <c r="E32" s="95"/>
      <c r="F32" s="113"/>
      <c r="G32" s="114"/>
      <c r="H32" s="115"/>
      <c r="I32" s="115"/>
    </row>
    <row r="33" spans="1:9" ht="6" customHeight="1">
      <c r="A33" s="70"/>
      <c r="B33" s="61"/>
      <c r="C33" s="88"/>
      <c r="D33" s="88"/>
      <c r="E33" s="95"/>
      <c r="F33" s="90"/>
      <c r="H33" s="106"/>
      <c r="I33" s="116"/>
    </row>
    <row r="34" spans="1:9" ht="12.75">
      <c r="A34" s="111"/>
      <c r="B34" s="73" t="s">
        <v>158</v>
      </c>
      <c r="C34" s="112">
        <f>C16+C27+C29</f>
        <v>4166448</v>
      </c>
      <c r="D34" s="112">
        <f>D16+D27+D29</f>
        <v>3896448</v>
      </c>
      <c r="E34" s="95"/>
      <c r="F34" s="113"/>
      <c r="G34" s="117" t="s">
        <v>159</v>
      </c>
      <c r="H34" s="112">
        <f>SUM(H12,H18,H25)</f>
        <v>4166448</v>
      </c>
      <c r="I34" s="112">
        <f>SUM(I12,I18,I25)</f>
        <v>3896448</v>
      </c>
    </row>
    <row r="35" spans="1:9" ht="12.75">
      <c r="A35" s="118"/>
      <c r="C35" s="101"/>
      <c r="D35" s="101"/>
      <c r="E35" s="95"/>
      <c r="F35" s="119"/>
      <c r="G35" s="120"/>
      <c r="H35" s="121"/>
      <c r="I35" s="121"/>
    </row>
    <row r="36" spans="1:9" s="76" customFormat="1" ht="12">
      <c r="A36" s="122"/>
      <c r="C36" s="123"/>
      <c r="D36" s="123"/>
      <c r="E36" s="123"/>
      <c r="F36" s="124"/>
      <c r="G36" s="125"/>
      <c r="H36" s="126"/>
      <c r="I36" s="126"/>
    </row>
    <row r="37" spans="1:9" ht="12.75">
      <c r="A37" s="79"/>
      <c r="C37" s="101"/>
      <c r="E37" s="95"/>
      <c r="F37" s="95"/>
      <c r="G37" s="95"/>
      <c r="H37" s="95"/>
      <c r="I37" s="95"/>
    </row>
    <row r="38" spans="1:9" ht="12.75">
      <c r="A38" s="79"/>
      <c r="B38" s="127"/>
      <c r="C38" s="95"/>
      <c r="D38" s="95"/>
      <c r="E38" s="95"/>
      <c r="F38" s="95"/>
      <c r="G38" s="95"/>
      <c r="H38" s="95"/>
      <c r="I38" s="95"/>
    </row>
    <row r="39" spans="1:9" ht="12.75">
      <c r="A39" s="79"/>
      <c r="B39" s="61"/>
      <c r="C39" s="95"/>
      <c r="D39" s="95"/>
      <c r="E39" s="95"/>
      <c r="F39" s="95"/>
      <c r="G39" s="91"/>
      <c r="H39" s="95"/>
      <c r="I39" s="95"/>
    </row>
    <row r="40" spans="1:9" ht="12.75">
      <c r="A40" s="79"/>
      <c r="B40" s="61"/>
      <c r="C40" s="95"/>
      <c r="D40" s="95"/>
      <c r="E40" s="95"/>
      <c r="F40" s="95"/>
      <c r="G40" s="91"/>
      <c r="H40" s="95"/>
      <c r="I40" s="95"/>
    </row>
    <row r="41" spans="1:9" ht="12.75">
      <c r="A41" s="79"/>
      <c r="B41" s="61"/>
      <c r="C41" s="95"/>
      <c r="D41" s="95"/>
      <c r="E41" s="95"/>
      <c r="F41" s="95"/>
      <c r="G41" s="91"/>
      <c r="H41" s="95"/>
      <c r="I41" s="95"/>
    </row>
    <row r="42" spans="1:9" ht="12.75">
      <c r="A42" s="79"/>
      <c r="B42" s="61"/>
      <c r="C42" s="95"/>
      <c r="D42" s="95"/>
      <c r="E42" s="95"/>
      <c r="F42" s="95"/>
      <c r="G42" s="91"/>
      <c r="H42" s="95"/>
      <c r="I42" s="95"/>
    </row>
    <row r="43" spans="1:9" ht="12.75">
      <c r="A43" s="79"/>
      <c r="B43" s="61"/>
      <c r="C43" s="95"/>
      <c r="D43" s="95"/>
      <c r="E43" s="95"/>
      <c r="F43" s="95"/>
      <c r="G43" s="91"/>
      <c r="H43" s="95"/>
      <c r="I43" s="95"/>
    </row>
    <row r="44" spans="1:9" ht="12.75">
      <c r="A44" s="79"/>
      <c r="B44" s="61"/>
      <c r="C44" s="95"/>
      <c r="D44" s="95"/>
      <c r="E44" s="95"/>
      <c r="F44" s="95"/>
      <c r="G44" s="91"/>
      <c r="H44" s="95"/>
      <c r="I44" s="95"/>
    </row>
    <row r="45" spans="2:7" ht="12.75">
      <c r="B45" s="61"/>
      <c r="C45" s="79"/>
      <c r="D45" s="79"/>
      <c r="E45" s="79"/>
      <c r="F45" s="79"/>
      <c r="G45" s="61"/>
    </row>
    <row r="46" spans="2:7" ht="12.75">
      <c r="B46" s="61"/>
      <c r="C46" s="95"/>
      <c r="D46" s="95"/>
      <c r="E46" s="79"/>
      <c r="F46" s="79"/>
      <c r="G46" s="61"/>
    </row>
    <row r="47" spans="2:7" ht="12.75">
      <c r="B47" s="61"/>
      <c r="C47" s="79"/>
      <c r="D47" s="79"/>
      <c r="E47" s="79"/>
      <c r="F47" s="79"/>
      <c r="G47" s="61"/>
    </row>
    <row r="48" spans="2:7" ht="12.75">
      <c r="B48" s="61"/>
      <c r="C48" s="79"/>
      <c r="D48" s="79"/>
      <c r="E48" s="79"/>
      <c r="F48" s="79"/>
      <c r="G48" s="61"/>
    </row>
    <row r="49" spans="2:7" ht="12.75">
      <c r="B49" s="61"/>
      <c r="C49" s="79"/>
      <c r="D49" s="79"/>
      <c r="E49" s="79"/>
      <c r="F49" s="79"/>
      <c r="G49" s="61"/>
    </row>
    <row r="50" spans="2:7" ht="12.75">
      <c r="B50" s="61"/>
      <c r="C50" s="79"/>
      <c r="D50" s="79"/>
      <c r="E50" s="79"/>
      <c r="F50" s="79"/>
      <c r="G50" s="61"/>
    </row>
    <row r="51" spans="2:7" ht="12.75">
      <c r="B51" s="61"/>
      <c r="C51" s="79"/>
      <c r="D51" s="79"/>
      <c r="E51" s="79"/>
      <c r="F51" s="79"/>
      <c r="G51" s="61"/>
    </row>
    <row r="52" spans="2:7" ht="12.75">
      <c r="B52" s="61"/>
      <c r="C52" s="79"/>
      <c r="D52" s="79"/>
      <c r="E52" s="79"/>
      <c r="F52" s="79"/>
      <c r="G52" s="61"/>
    </row>
    <row r="53" spans="2:7" ht="12.75">
      <c r="B53" s="61"/>
      <c r="C53" s="79"/>
      <c r="D53" s="79"/>
      <c r="E53" s="79"/>
      <c r="F53" s="79"/>
      <c r="G53" s="61"/>
    </row>
    <row r="54" spans="2:7" ht="12.75">
      <c r="B54" s="61"/>
      <c r="C54" s="79"/>
      <c r="D54" s="79"/>
      <c r="E54" s="79"/>
      <c r="F54" s="79"/>
      <c r="G54" s="61"/>
    </row>
    <row r="55" spans="2:7" ht="12.75">
      <c r="B55" s="61"/>
      <c r="C55" s="79"/>
      <c r="D55" s="79"/>
      <c r="E55" s="79"/>
      <c r="F55" s="79"/>
      <c r="G55" s="61"/>
    </row>
    <row r="56" spans="2:7" ht="12.75">
      <c r="B56" s="61"/>
      <c r="C56" s="79"/>
      <c r="D56" s="79"/>
      <c r="E56" s="79"/>
      <c r="F56" s="79"/>
      <c r="G56" s="61"/>
    </row>
    <row r="57" spans="2:7" ht="12.75">
      <c r="B57" s="61"/>
      <c r="C57" s="79"/>
      <c r="D57" s="79"/>
      <c r="E57" s="79"/>
      <c r="F57" s="79"/>
      <c r="G57" s="61"/>
    </row>
    <row r="58" spans="2:7" ht="12.75">
      <c r="B58" s="61"/>
      <c r="C58" s="79"/>
      <c r="D58" s="79"/>
      <c r="E58" s="79"/>
      <c r="F58" s="79"/>
      <c r="G58" s="61"/>
    </row>
    <row r="59" spans="2:7" ht="12.75">
      <c r="B59" s="61"/>
      <c r="C59" s="79"/>
      <c r="D59" s="79"/>
      <c r="E59" s="79"/>
      <c r="F59" s="79"/>
      <c r="G59" s="61"/>
    </row>
    <row r="60" spans="2:7" ht="12.75">
      <c r="B60" s="61"/>
      <c r="C60" s="79"/>
      <c r="D60" s="79"/>
      <c r="E60" s="79"/>
      <c r="F60" s="79"/>
      <c r="G60" s="61"/>
    </row>
    <row r="61" spans="6:7" ht="12.75">
      <c r="F61" s="79"/>
      <c r="G61" s="61"/>
    </row>
    <row r="62" spans="6:7" ht="12.75">
      <c r="F62" s="79"/>
      <c r="G62" s="61"/>
    </row>
    <row r="63" spans="6:7" ht="12.75">
      <c r="F63" s="79"/>
      <c r="G63" s="61"/>
    </row>
    <row r="64" spans="6:7" ht="12.75">
      <c r="F64" s="79"/>
      <c r="G64" s="61"/>
    </row>
    <row r="65" spans="6:7" ht="12.75">
      <c r="F65" s="79"/>
      <c r="G65" s="61"/>
    </row>
    <row r="66" spans="6:7" ht="12.75">
      <c r="F66" s="79"/>
      <c r="G66" s="61"/>
    </row>
    <row r="67" spans="6:7" ht="12.75">
      <c r="F67" s="79"/>
      <c r="G67" s="61"/>
    </row>
    <row r="68" spans="6:7" ht="12.75">
      <c r="F68" s="79"/>
      <c r="G68" s="61"/>
    </row>
    <row r="69" spans="6:7" ht="12.75">
      <c r="F69" s="79"/>
      <c r="G69" s="61"/>
    </row>
    <row r="70" spans="6:7" ht="12.75">
      <c r="F70" s="79"/>
      <c r="G70" s="61"/>
    </row>
    <row r="71" spans="6:7" ht="12.75">
      <c r="F71" s="79"/>
      <c r="G71" s="61"/>
    </row>
    <row r="72" spans="6:7" ht="12.75">
      <c r="F72" s="79"/>
      <c r="G72" s="61"/>
    </row>
    <row r="73" spans="6:7" ht="12.75">
      <c r="F73" s="79"/>
      <c r="G73" s="61"/>
    </row>
    <row r="74" spans="6:7" ht="12.75">
      <c r="F74" s="79"/>
      <c r="G74" s="61"/>
    </row>
    <row r="75" spans="6:7" ht="12.75">
      <c r="F75" s="79"/>
      <c r="G75" s="61"/>
    </row>
  </sheetData>
  <sheetProtection/>
  <mergeCells count="2">
    <mergeCell ref="A1:I1"/>
    <mergeCell ref="A2:I2"/>
  </mergeCells>
  <printOptions horizontalCentered="1" verticalCentered="1"/>
  <pageMargins left="0.6299212598425197" right="0.5905511811023623" top="0.6299212598425197" bottom="0.7086614173228347" header="0.5118110236220472" footer="0.5118110236220472"/>
  <pageSetup horizontalDpi="600" verticalDpi="600" orientation="landscape" paperSize="9" scale="95" r:id="rId1"/>
  <headerFooter alignWithMargins="0">
    <oddHeader>&amp;RSeite 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85"/>
  <sheetViews>
    <sheetView view="pageBreakPreview" zoomScale="130" zoomScaleSheetLayoutView="130" zoomScalePageLayoutView="0" workbookViewId="0" topLeftCell="A1">
      <pane ySplit="960" topLeftCell="A100" activePane="bottomLeft" state="split"/>
      <selection pane="topLeft" activeCell="L27" sqref="L27"/>
      <selection pane="bottomLeft" activeCell="L27" sqref="L27"/>
    </sheetView>
  </sheetViews>
  <sheetFormatPr defaultColWidth="11.421875" defaultRowHeight="12.75"/>
  <cols>
    <col min="1" max="1" width="50.57421875" style="141" bestFit="1" customWidth="1"/>
    <col min="2" max="2" width="10.28125" style="141" bestFit="1" customWidth="1"/>
    <col min="3" max="3" width="11.28125" style="141" bestFit="1" customWidth="1"/>
    <col min="4" max="4" width="9.7109375" style="141" bestFit="1" customWidth="1"/>
    <col min="5" max="5" width="10.7109375" style="141" bestFit="1" customWidth="1"/>
    <col min="6" max="6" width="12.28125" style="30" bestFit="1" customWidth="1"/>
    <col min="7" max="7" width="9.7109375" style="141" bestFit="1" customWidth="1"/>
    <col min="8" max="8" width="10.421875" style="141" bestFit="1" customWidth="1"/>
    <col min="9" max="9" width="13.28125" style="141" customWidth="1"/>
    <col min="10" max="10" width="11.421875" style="141" hidden="1" customWidth="1"/>
    <col min="11" max="11" width="0" style="142" hidden="1" customWidth="1"/>
    <col min="12" max="12" width="12.28125" style="143" bestFit="1" customWidth="1"/>
    <col min="13" max="17" width="11.28125" style="141" customWidth="1"/>
    <col min="18" max="16384" width="11.421875" style="141" customWidth="1"/>
  </cols>
  <sheetData>
    <row r="1" spans="1:12" s="133" customFormat="1" ht="60">
      <c r="A1" s="128"/>
      <c r="B1" s="128" t="s">
        <v>43</v>
      </c>
      <c r="C1" s="129" t="s">
        <v>64</v>
      </c>
      <c r="D1" s="130" t="s">
        <v>160</v>
      </c>
      <c r="E1" s="129" t="s">
        <v>44</v>
      </c>
      <c r="F1" s="131">
        <v>2019</v>
      </c>
      <c r="G1" s="130" t="s">
        <v>208</v>
      </c>
      <c r="H1" s="129" t="s">
        <v>209</v>
      </c>
      <c r="I1" s="132" t="s">
        <v>210</v>
      </c>
      <c r="J1" s="133" t="s">
        <v>182</v>
      </c>
      <c r="K1" s="134" t="s">
        <v>183</v>
      </c>
      <c r="L1" s="135"/>
    </row>
    <row r="2" spans="1:9" ht="13.5" customHeight="1">
      <c r="A2" s="136" t="s">
        <v>45</v>
      </c>
      <c r="B2" s="137"/>
      <c r="C2" s="138"/>
      <c r="D2" s="139"/>
      <c r="E2" s="138"/>
      <c r="F2" s="22"/>
      <c r="G2" s="139"/>
      <c r="H2" s="138"/>
      <c r="I2" s="140"/>
    </row>
    <row r="3" spans="1:12" ht="13.5" customHeight="1">
      <c r="A3" s="17" t="s">
        <v>1</v>
      </c>
      <c r="B3" s="144"/>
      <c r="C3" s="13">
        <v>110000</v>
      </c>
      <c r="D3" s="12"/>
      <c r="E3" s="13"/>
      <c r="F3" s="14">
        <f>SUM(B3:E3)</f>
        <v>110000</v>
      </c>
      <c r="G3" s="15">
        <v>105000</v>
      </c>
      <c r="H3" s="15">
        <f>155808.25-14182.37-22750</f>
        <v>118875.88</v>
      </c>
      <c r="I3" s="145">
        <f aca="true" t="shared" si="0" ref="I3:I16">(F3-G3)/G3</f>
        <v>0.047619047619047616</v>
      </c>
      <c r="J3" s="141">
        <v>90</v>
      </c>
      <c r="K3" s="142">
        <f>H3-(J3*1000)</f>
        <v>28875.880000000005</v>
      </c>
      <c r="L3" s="146"/>
    </row>
    <row r="4" spans="1:13" ht="13.5" customHeight="1">
      <c r="A4" s="17" t="s">
        <v>179</v>
      </c>
      <c r="B4" s="144"/>
      <c r="C4" s="13">
        <v>4600000</v>
      </c>
      <c r="D4" s="12"/>
      <c r="E4" s="13"/>
      <c r="F4" s="14">
        <f aca="true" t="shared" si="1" ref="F4:F15">SUM(B4:E4)</f>
        <v>4600000</v>
      </c>
      <c r="G4" s="15">
        <v>4350000</v>
      </c>
      <c r="H4" s="15">
        <v>5245890.15</v>
      </c>
      <c r="I4" s="145">
        <f t="shared" si="0"/>
        <v>0.05747126436781609</v>
      </c>
      <c r="J4" s="141">
        <v>2800</v>
      </c>
      <c r="K4" s="142">
        <f aca="true" t="shared" si="2" ref="K4:K67">H4-(J4*1000)</f>
        <v>2445890.1500000004</v>
      </c>
      <c r="L4" s="146"/>
      <c r="M4" s="143"/>
    </row>
    <row r="5" spans="1:12" ht="13.5" customHeight="1">
      <c r="A5" s="17" t="s">
        <v>2</v>
      </c>
      <c r="B5" s="144"/>
      <c r="C5" s="13">
        <v>90000</v>
      </c>
      <c r="D5" s="12"/>
      <c r="E5" s="13"/>
      <c r="F5" s="14">
        <f t="shared" si="1"/>
        <v>90000</v>
      </c>
      <c r="G5" s="15">
        <v>100000</v>
      </c>
      <c r="H5" s="15">
        <f>86079.24</f>
        <v>86079.24</v>
      </c>
      <c r="I5" s="145">
        <f t="shared" si="0"/>
        <v>-0.1</v>
      </c>
      <c r="J5" s="141">
        <v>140</v>
      </c>
      <c r="K5" s="142">
        <f t="shared" si="2"/>
        <v>-53920.759999999995</v>
      </c>
      <c r="L5" s="146"/>
    </row>
    <row r="6" spans="1:12" ht="13.5" customHeight="1">
      <c r="A6" s="17" t="s">
        <v>3</v>
      </c>
      <c r="B6" s="144"/>
      <c r="C6" s="13">
        <v>170000</v>
      </c>
      <c r="D6" s="12"/>
      <c r="E6" s="13"/>
      <c r="F6" s="14">
        <f t="shared" si="1"/>
        <v>170000</v>
      </c>
      <c r="G6" s="15">
        <v>180000</v>
      </c>
      <c r="H6" s="15">
        <v>149270.1</v>
      </c>
      <c r="I6" s="145">
        <f t="shared" si="0"/>
        <v>-0.05555555555555555</v>
      </c>
      <c r="J6" s="141">
        <v>180</v>
      </c>
      <c r="K6" s="142">
        <f t="shared" si="2"/>
        <v>-30729.899999999994</v>
      </c>
      <c r="L6" s="146"/>
    </row>
    <row r="7" spans="1:13" ht="13.5" customHeight="1">
      <c r="A7" s="17" t="s">
        <v>177</v>
      </c>
      <c r="B7" s="144">
        <f>2160000+50000</f>
        <v>2210000</v>
      </c>
      <c r="C7" s="13"/>
      <c r="D7" s="12"/>
      <c r="E7" s="13"/>
      <c r="F7" s="14">
        <f t="shared" si="1"/>
        <v>2210000</v>
      </c>
      <c r="G7" s="15">
        <v>2140000</v>
      </c>
      <c r="H7" s="15">
        <f>1002758.29+619326.5+528959.54+343880.44-H8</f>
        <v>2305043.24</v>
      </c>
      <c r="I7" s="145">
        <f t="shared" si="0"/>
        <v>0.03271028037383177</v>
      </c>
      <c r="J7" s="141">
        <v>1850</v>
      </c>
      <c r="K7" s="142">
        <f t="shared" si="2"/>
        <v>455043.2400000002</v>
      </c>
      <c r="L7" s="146"/>
      <c r="M7" s="143"/>
    </row>
    <row r="8" spans="1:12" ht="13.5" customHeight="1">
      <c r="A8" s="17" t="s">
        <v>5</v>
      </c>
      <c r="B8" s="144">
        <v>195000</v>
      </c>
      <c r="C8" s="13"/>
      <c r="D8" s="12"/>
      <c r="E8" s="13"/>
      <c r="F8" s="14">
        <f t="shared" si="1"/>
        <v>195000</v>
      </c>
      <c r="G8" s="15">
        <v>190000</v>
      </c>
      <c r="H8" s="15">
        <v>189881.53</v>
      </c>
      <c r="I8" s="145">
        <f t="shared" si="0"/>
        <v>0.02631578947368421</v>
      </c>
      <c r="J8" s="141">
        <v>198</v>
      </c>
      <c r="K8" s="142">
        <f t="shared" si="2"/>
        <v>-8118.470000000001</v>
      </c>
      <c r="L8" s="146"/>
    </row>
    <row r="9" spans="1:12" ht="13.5" customHeight="1">
      <c r="A9" s="17" t="s">
        <v>38</v>
      </c>
      <c r="B9" s="144">
        <v>70000</v>
      </c>
      <c r="C9" s="13"/>
      <c r="D9" s="12"/>
      <c r="E9" s="13"/>
      <c r="F9" s="14">
        <f t="shared" si="1"/>
        <v>70000</v>
      </c>
      <c r="G9" s="15">
        <v>70000</v>
      </c>
      <c r="H9" s="15">
        <v>70532.11</v>
      </c>
      <c r="I9" s="145">
        <f t="shared" si="0"/>
        <v>0</v>
      </c>
      <c r="J9" s="141">
        <v>65</v>
      </c>
      <c r="K9" s="142">
        <f t="shared" si="2"/>
        <v>5532.110000000001</v>
      </c>
      <c r="L9" s="146"/>
    </row>
    <row r="10" spans="1:12" ht="13.5" customHeight="1">
      <c r="A10" s="17" t="s">
        <v>4</v>
      </c>
      <c r="B10" s="144"/>
      <c r="C10" s="13"/>
      <c r="D10" s="12">
        <v>47000</v>
      </c>
      <c r="E10" s="13"/>
      <c r="F10" s="14">
        <f t="shared" si="1"/>
        <v>47000</v>
      </c>
      <c r="G10" s="15">
        <v>47000</v>
      </c>
      <c r="H10" s="15">
        <v>52359.93</v>
      </c>
      <c r="I10" s="145">
        <f t="shared" si="0"/>
        <v>0</v>
      </c>
      <c r="J10" s="142">
        <v>115</v>
      </c>
      <c r="K10" s="142">
        <f t="shared" si="2"/>
        <v>-62640.07</v>
      </c>
      <c r="L10" s="146"/>
    </row>
    <row r="11" spans="1:12" ht="13.5" customHeight="1">
      <c r="A11" s="17" t="s">
        <v>167</v>
      </c>
      <c r="B11" s="144"/>
      <c r="C11" s="13"/>
      <c r="D11" s="12">
        <v>1450000</v>
      </c>
      <c r="E11" s="13"/>
      <c r="F11" s="14">
        <f t="shared" si="1"/>
        <v>1450000</v>
      </c>
      <c r="G11" s="15">
        <v>1450000</v>
      </c>
      <c r="H11" s="15">
        <v>1395339.81</v>
      </c>
      <c r="I11" s="145">
        <f t="shared" si="0"/>
        <v>0</v>
      </c>
      <c r="J11" s="142">
        <v>1610</v>
      </c>
      <c r="K11" s="142">
        <f t="shared" si="2"/>
        <v>-214660.18999999994</v>
      </c>
      <c r="L11" s="147"/>
    </row>
    <row r="12" spans="1:12" ht="13.5" customHeight="1">
      <c r="A12" s="17" t="s">
        <v>165</v>
      </c>
      <c r="B12" s="144"/>
      <c r="C12" s="13"/>
      <c r="D12" s="12">
        <v>236000</v>
      </c>
      <c r="E12" s="13"/>
      <c r="F12" s="14">
        <f t="shared" si="1"/>
        <v>236000</v>
      </c>
      <c r="G12" s="15">
        <v>0</v>
      </c>
      <c r="H12" s="15">
        <v>0</v>
      </c>
      <c r="I12" s="145"/>
      <c r="J12" s="142">
        <v>305</v>
      </c>
      <c r="K12" s="142">
        <f t="shared" si="2"/>
        <v>-305000</v>
      </c>
      <c r="L12" s="146"/>
    </row>
    <row r="13" spans="1:12" ht="13.5" customHeight="1">
      <c r="A13" s="17" t="s">
        <v>166</v>
      </c>
      <c r="B13" s="144"/>
      <c r="C13" s="13"/>
      <c r="D13" s="12">
        <v>252000</v>
      </c>
      <c r="E13" s="13"/>
      <c r="F13" s="14">
        <f t="shared" si="1"/>
        <v>252000</v>
      </c>
      <c r="G13" s="15">
        <v>0</v>
      </c>
      <c r="H13" s="15">
        <v>0</v>
      </c>
      <c r="I13" s="145"/>
      <c r="J13" s="142">
        <v>275</v>
      </c>
      <c r="K13" s="142">
        <f t="shared" si="2"/>
        <v>-275000</v>
      </c>
      <c r="L13" s="146"/>
    </row>
    <row r="14" spans="1:12" ht="13.5" customHeight="1">
      <c r="A14" s="17" t="s">
        <v>211</v>
      </c>
      <c r="B14" s="144"/>
      <c r="C14" s="13"/>
      <c r="D14" s="12">
        <v>79000</v>
      </c>
      <c r="E14" s="13"/>
      <c r="F14" s="14">
        <f t="shared" si="1"/>
        <v>79000</v>
      </c>
      <c r="G14" s="15">
        <v>3000</v>
      </c>
      <c r="H14" s="15">
        <v>5023.1</v>
      </c>
      <c r="I14" s="145">
        <f t="shared" si="0"/>
        <v>25.333333333333332</v>
      </c>
      <c r="J14" s="142">
        <v>55</v>
      </c>
      <c r="K14" s="142">
        <f t="shared" si="2"/>
        <v>-49976.9</v>
      </c>
      <c r="L14" s="146"/>
    </row>
    <row r="15" spans="1:12" ht="13.5" customHeight="1">
      <c r="A15" s="148" t="s">
        <v>190</v>
      </c>
      <c r="B15" s="149">
        <v>45000</v>
      </c>
      <c r="C15" s="150">
        <v>250000</v>
      </c>
      <c r="D15" s="151">
        <v>404000</v>
      </c>
      <c r="E15" s="150"/>
      <c r="F15" s="14">
        <f t="shared" si="1"/>
        <v>699000</v>
      </c>
      <c r="G15" s="152">
        <v>290000</v>
      </c>
      <c r="H15" s="153">
        <f>10050282.4-9695543+36932.03</f>
        <v>391671.4300000004</v>
      </c>
      <c r="I15" s="145">
        <f t="shared" si="0"/>
        <v>1.410344827586207</v>
      </c>
      <c r="J15" s="142"/>
      <c r="L15" s="146"/>
    </row>
    <row r="16" spans="1:12" s="30" customFormat="1" ht="13.5" customHeight="1">
      <c r="A16" s="154" t="s">
        <v>46</v>
      </c>
      <c r="B16" s="155">
        <f>SUM(B3:B15)</f>
        <v>2520000</v>
      </c>
      <c r="C16" s="155">
        <f aca="true" t="shared" si="3" ref="C16:H16">SUM(C3:C15)</f>
        <v>5220000</v>
      </c>
      <c r="D16" s="155">
        <f t="shared" si="3"/>
        <v>2468000</v>
      </c>
      <c r="E16" s="155">
        <f t="shared" si="3"/>
        <v>0</v>
      </c>
      <c r="F16" s="155">
        <f t="shared" si="3"/>
        <v>10208000</v>
      </c>
      <c r="G16" s="155">
        <f t="shared" si="3"/>
        <v>8925000</v>
      </c>
      <c r="H16" s="155">
        <f t="shared" si="3"/>
        <v>10009966.52</v>
      </c>
      <c r="I16" s="25">
        <f t="shared" si="0"/>
        <v>0.14375350140056023</v>
      </c>
      <c r="K16" s="142"/>
      <c r="L16" s="146"/>
    </row>
    <row r="17" spans="1:9" ht="7.5" customHeight="1">
      <c r="A17" s="156"/>
      <c r="B17" s="137"/>
      <c r="C17" s="138"/>
      <c r="D17" s="139"/>
      <c r="E17" s="138"/>
      <c r="F17" s="22"/>
      <c r="G17" s="139"/>
      <c r="H17" s="138"/>
      <c r="I17" s="140"/>
    </row>
    <row r="18" spans="1:9" ht="13.5" customHeight="1">
      <c r="A18" s="18" t="s">
        <v>83</v>
      </c>
      <c r="B18" s="144"/>
      <c r="C18" s="13"/>
      <c r="D18" s="12"/>
      <c r="E18" s="13"/>
      <c r="F18" s="14"/>
      <c r="G18" s="12"/>
      <c r="H18" s="13"/>
      <c r="I18" s="16"/>
    </row>
    <row r="19" spans="1:11" ht="13.5" customHeight="1">
      <c r="A19" s="19" t="s">
        <v>191</v>
      </c>
      <c r="B19" s="45">
        <v>0</v>
      </c>
      <c r="C19" s="46">
        <v>0</v>
      </c>
      <c r="D19" s="47">
        <v>0</v>
      </c>
      <c r="E19" s="46">
        <v>0</v>
      </c>
      <c r="F19" s="20">
        <f>SUM(B19:E19)</f>
        <v>0</v>
      </c>
      <c r="G19" s="15">
        <v>0</v>
      </c>
      <c r="H19" s="163">
        <f>36932.37+3383.51</f>
        <v>40315.880000000005</v>
      </c>
      <c r="I19" s="157"/>
      <c r="J19" s="141">
        <v>325</v>
      </c>
      <c r="K19" s="142">
        <f t="shared" si="2"/>
        <v>-284684.12</v>
      </c>
    </row>
    <row r="20" spans="1:12" s="30" customFormat="1" ht="13.5" customHeight="1">
      <c r="A20" s="154" t="s">
        <v>47</v>
      </c>
      <c r="B20" s="155">
        <f>SUM(B19)</f>
        <v>0</v>
      </c>
      <c r="C20" s="158">
        <f aca="true" t="shared" si="4" ref="C20:H20">SUM(C19)</f>
        <v>0</v>
      </c>
      <c r="D20" s="159">
        <f t="shared" si="4"/>
        <v>0</v>
      </c>
      <c r="E20" s="158">
        <f t="shared" si="4"/>
        <v>0</v>
      </c>
      <c r="F20" s="21">
        <f t="shared" si="4"/>
        <v>0</v>
      </c>
      <c r="G20" s="158">
        <f t="shared" si="4"/>
        <v>0</v>
      </c>
      <c r="H20" s="158">
        <f t="shared" si="4"/>
        <v>40315.880000000005</v>
      </c>
      <c r="I20" s="25"/>
      <c r="J20" s="37"/>
      <c r="K20" s="142"/>
      <c r="L20" s="37"/>
    </row>
    <row r="21" spans="1:11" ht="7.5" customHeight="1">
      <c r="A21" s="148"/>
      <c r="B21" s="149"/>
      <c r="C21" s="150"/>
      <c r="D21" s="151"/>
      <c r="E21" s="150"/>
      <c r="F21" s="23"/>
      <c r="G21" s="151"/>
      <c r="H21" s="150"/>
      <c r="I21" s="160"/>
      <c r="K21" s="142">
        <f t="shared" si="2"/>
        <v>0</v>
      </c>
    </row>
    <row r="22" spans="1:13" s="30" customFormat="1" ht="13.5" customHeight="1">
      <c r="A22" s="11" t="s">
        <v>6</v>
      </c>
      <c r="B22" s="155">
        <f>SUM(B20,B16)</f>
        <v>2520000</v>
      </c>
      <c r="C22" s="158">
        <f aca="true" t="shared" si="5" ref="C22:H22">SUM(C20,C16)</f>
        <v>5220000</v>
      </c>
      <c r="D22" s="159">
        <f t="shared" si="5"/>
        <v>2468000</v>
      </c>
      <c r="E22" s="158">
        <f t="shared" si="5"/>
        <v>0</v>
      </c>
      <c r="F22" s="21">
        <f t="shared" si="5"/>
        <v>10208000</v>
      </c>
      <c r="G22" s="159">
        <f t="shared" si="5"/>
        <v>8925000</v>
      </c>
      <c r="H22" s="158">
        <f t="shared" si="5"/>
        <v>10050282.4</v>
      </c>
      <c r="I22" s="25">
        <f>(F22-G22)/G22</f>
        <v>0.14375350140056023</v>
      </c>
      <c r="J22" s="30">
        <f>SUM(J3:J19)</f>
        <v>8008</v>
      </c>
      <c r="K22" s="142">
        <f t="shared" si="2"/>
        <v>2042282.4000000004</v>
      </c>
      <c r="L22" s="37"/>
      <c r="M22" s="37"/>
    </row>
    <row r="23" spans="1:9" ht="7.5" customHeight="1">
      <c r="A23" s="156"/>
      <c r="B23" s="137"/>
      <c r="C23" s="138"/>
      <c r="D23" s="139"/>
      <c r="E23" s="138"/>
      <c r="F23" s="22"/>
      <c r="G23" s="161"/>
      <c r="H23" s="138"/>
      <c r="I23" s="140"/>
    </row>
    <row r="24" spans="1:9" ht="13.5" customHeight="1">
      <c r="A24" s="18" t="s">
        <v>79</v>
      </c>
      <c r="B24" s="144"/>
      <c r="C24" s="13"/>
      <c r="D24" s="12"/>
      <c r="E24" s="13"/>
      <c r="F24" s="14"/>
      <c r="G24" s="162"/>
      <c r="H24" s="13"/>
      <c r="I24" s="16"/>
    </row>
    <row r="25" spans="1:9" ht="13.5" customHeight="1">
      <c r="A25" s="18" t="s">
        <v>48</v>
      </c>
      <c r="B25" s="144"/>
      <c r="C25" s="13"/>
      <c r="D25" s="12"/>
      <c r="E25" s="13"/>
      <c r="F25" s="14"/>
      <c r="G25" s="12"/>
      <c r="H25" s="13"/>
      <c r="I25" s="16"/>
    </row>
    <row r="26" spans="1:12" ht="13.5" customHeight="1">
      <c r="A26" s="17" t="s">
        <v>7</v>
      </c>
      <c r="B26" s="144"/>
      <c r="C26" s="13">
        <v>150000</v>
      </c>
      <c r="D26" s="12"/>
      <c r="E26" s="13"/>
      <c r="F26" s="14">
        <f aca="true" t="shared" si="6" ref="F26:F37">SUM(B26:E26)</f>
        <v>150000</v>
      </c>
      <c r="G26" s="15">
        <v>150000</v>
      </c>
      <c r="H26" s="15">
        <f>18540.57+62016.85+60000</f>
        <v>140557.41999999998</v>
      </c>
      <c r="I26" s="145">
        <f aca="true" t="shared" si="7" ref="I26:I38">(F26-G26)/G26</f>
        <v>0</v>
      </c>
      <c r="J26" s="141">
        <v>150</v>
      </c>
      <c r="K26" s="142">
        <f t="shared" si="2"/>
        <v>-9442.580000000016</v>
      </c>
      <c r="L26" s="146"/>
    </row>
    <row r="27" spans="1:12" ht="13.5" customHeight="1">
      <c r="A27" s="17" t="s">
        <v>8</v>
      </c>
      <c r="B27" s="144"/>
      <c r="C27" s="13">
        <v>2000</v>
      </c>
      <c r="D27" s="12"/>
      <c r="E27" s="13"/>
      <c r="F27" s="14">
        <f t="shared" si="6"/>
        <v>2000</v>
      </c>
      <c r="G27" s="15">
        <v>2000</v>
      </c>
      <c r="H27" s="15">
        <v>2675</v>
      </c>
      <c r="I27" s="145">
        <f t="shared" si="7"/>
        <v>0</v>
      </c>
      <c r="J27" s="141">
        <v>2</v>
      </c>
      <c r="K27" s="142">
        <f t="shared" si="2"/>
        <v>675</v>
      </c>
      <c r="L27" s="146"/>
    </row>
    <row r="28" spans="1:12" ht="13.5" customHeight="1">
      <c r="A28" s="17" t="s">
        <v>9</v>
      </c>
      <c r="B28" s="144">
        <v>10000</v>
      </c>
      <c r="C28" s="13">
        <v>190000</v>
      </c>
      <c r="D28" s="12"/>
      <c r="E28" s="13"/>
      <c r="F28" s="14">
        <f t="shared" si="6"/>
        <v>200000</v>
      </c>
      <c r="G28" s="15">
        <v>200000</v>
      </c>
      <c r="H28" s="15">
        <f>152030.09+70000</f>
        <v>222030.09</v>
      </c>
      <c r="I28" s="145">
        <f t="shared" si="7"/>
        <v>0</v>
      </c>
      <c r="J28" s="141">
        <v>95</v>
      </c>
      <c r="K28" s="142">
        <f t="shared" si="2"/>
        <v>127030.09</v>
      </c>
      <c r="L28" s="146"/>
    </row>
    <row r="29" spans="1:12" ht="13.5" customHeight="1">
      <c r="A29" s="17" t="s">
        <v>50</v>
      </c>
      <c r="B29" s="144">
        <v>1000</v>
      </c>
      <c r="C29" s="13">
        <v>9000</v>
      </c>
      <c r="D29" s="12"/>
      <c r="E29" s="13"/>
      <c r="F29" s="14">
        <f t="shared" si="6"/>
        <v>10000</v>
      </c>
      <c r="G29" s="15">
        <v>10000</v>
      </c>
      <c r="H29" s="15">
        <v>313.8</v>
      </c>
      <c r="I29" s="145">
        <f t="shared" si="7"/>
        <v>0</v>
      </c>
      <c r="J29" s="141">
        <v>12</v>
      </c>
      <c r="K29" s="142">
        <f t="shared" si="2"/>
        <v>-11686.2</v>
      </c>
      <c r="L29" s="146"/>
    </row>
    <row r="30" spans="1:12" ht="13.5" customHeight="1">
      <c r="A30" s="17" t="s">
        <v>32</v>
      </c>
      <c r="B30" s="144"/>
      <c r="C30" s="13">
        <v>3000</v>
      </c>
      <c r="D30" s="12"/>
      <c r="E30" s="13"/>
      <c r="F30" s="14">
        <f t="shared" si="6"/>
        <v>3000</v>
      </c>
      <c r="G30" s="15">
        <v>3000</v>
      </c>
      <c r="H30" s="15">
        <v>2757.23</v>
      </c>
      <c r="I30" s="145">
        <f t="shared" si="7"/>
        <v>0</v>
      </c>
      <c r="J30" s="141">
        <v>2</v>
      </c>
      <c r="K30" s="142">
        <f t="shared" si="2"/>
        <v>757.23</v>
      </c>
      <c r="L30" s="146"/>
    </row>
    <row r="31" spans="1:12" ht="13.5" customHeight="1">
      <c r="A31" s="17" t="s">
        <v>49</v>
      </c>
      <c r="B31" s="144"/>
      <c r="C31" s="13">
        <v>20000</v>
      </c>
      <c r="D31" s="12"/>
      <c r="E31" s="13"/>
      <c r="F31" s="14">
        <f t="shared" si="6"/>
        <v>20000</v>
      </c>
      <c r="G31" s="15">
        <v>20000</v>
      </c>
      <c r="H31" s="15">
        <v>17400</v>
      </c>
      <c r="I31" s="145">
        <f t="shared" si="7"/>
        <v>0</v>
      </c>
      <c r="J31" s="141">
        <v>25</v>
      </c>
      <c r="K31" s="142">
        <f t="shared" si="2"/>
        <v>-7600</v>
      </c>
      <c r="L31" s="146"/>
    </row>
    <row r="32" spans="1:12" ht="13.5" customHeight="1">
      <c r="A32" s="17" t="s">
        <v>10</v>
      </c>
      <c r="B32" s="144">
        <v>60000</v>
      </c>
      <c r="C32" s="13">
        <v>3000</v>
      </c>
      <c r="D32" s="12">
        <f>290000+20000</f>
        <v>310000</v>
      </c>
      <c r="E32" s="13"/>
      <c r="F32" s="14">
        <f t="shared" si="6"/>
        <v>373000</v>
      </c>
      <c r="G32" s="15">
        <v>103000</v>
      </c>
      <c r="H32" s="15">
        <v>121200.91</v>
      </c>
      <c r="I32" s="145">
        <f t="shared" si="7"/>
        <v>2.621359223300971</v>
      </c>
      <c r="J32" s="142">
        <v>195</v>
      </c>
      <c r="K32" s="142">
        <f t="shared" si="2"/>
        <v>-73799.09</v>
      </c>
      <c r="L32" s="146"/>
    </row>
    <row r="33" spans="1:12" ht="13.5" customHeight="1">
      <c r="A33" s="17" t="s">
        <v>11</v>
      </c>
      <c r="B33" s="144">
        <v>7000</v>
      </c>
      <c r="C33" s="13">
        <v>1000</v>
      </c>
      <c r="D33" s="12">
        <v>40000</v>
      </c>
      <c r="E33" s="13"/>
      <c r="F33" s="14">
        <f t="shared" si="6"/>
        <v>48000</v>
      </c>
      <c r="G33" s="15">
        <v>10000</v>
      </c>
      <c r="H33" s="15">
        <v>17039.57</v>
      </c>
      <c r="I33" s="145">
        <f t="shared" si="7"/>
        <v>3.8</v>
      </c>
      <c r="J33" s="142">
        <v>12</v>
      </c>
      <c r="K33" s="142">
        <f t="shared" si="2"/>
        <v>5039.57</v>
      </c>
      <c r="L33" s="146"/>
    </row>
    <row r="34" spans="1:12" ht="13.5" customHeight="1">
      <c r="A34" s="17" t="s">
        <v>12</v>
      </c>
      <c r="B34" s="144">
        <v>100000</v>
      </c>
      <c r="C34" s="13">
        <v>2000</v>
      </c>
      <c r="D34" s="12">
        <f>180000+10000</f>
        <v>190000</v>
      </c>
      <c r="E34" s="13"/>
      <c r="F34" s="14">
        <f t="shared" si="6"/>
        <v>292000</v>
      </c>
      <c r="G34" s="15">
        <v>132000</v>
      </c>
      <c r="H34" s="15">
        <v>101906.59</v>
      </c>
      <c r="I34" s="145">
        <f t="shared" si="7"/>
        <v>1.2121212121212122</v>
      </c>
      <c r="J34" s="142">
        <v>220</v>
      </c>
      <c r="K34" s="142">
        <f t="shared" si="2"/>
        <v>-118093.41</v>
      </c>
      <c r="L34" s="146"/>
    </row>
    <row r="35" spans="1:12" ht="13.5" customHeight="1">
      <c r="A35" s="17" t="s">
        <v>1</v>
      </c>
      <c r="B35" s="144"/>
      <c r="C35" s="13">
        <v>9000</v>
      </c>
      <c r="D35" s="12">
        <v>20000</v>
      </c>
      <c r="E35" s="13"/>
      <c r="F35" s="14">
        <f t="shared" si="6"/>
        <v>29000</v>
      </c>
      <c r="G35" s="15">
        <v>9000</v>
      </c>
      <c r="H35" s="15">
        <f>1796.95+493.16+7000</f>
        <v>9290.11</v>
      </c>
      <c r="I35" s="145">
        <f t="shared" si="7"/>
        <v>2.2222222222222223</v>
      </c>
      <c r="J35" s="142">
        <v>30</v>
      </c>
      <c r="K35" s="142">
        <f t="shared" si="2"/>
        <v>-20709.89</v>
      </c>
      <c r="L35" s="146"/>
    </row>
    <row r="36" spans="1:12" ht="13.5" customHeight="1">
      <c r="A36" s="17" t="s">
        <v>33</v>
      </c>
      <c r="B36" s="144">
        <v>8000</v>
      </c>
      <c r="C36" s="13">
        <v>8000</v>
      </c>
      <c r="D36" s="12"/>
      <c r="E36" s="13"/>
      <c r="F36" s="14">
        <f t="shared" si="6"/>
        <v>16000</v>
      </c>
      <c r="G36" s="15">
        <v>16000</v>
      </c>
      <c r="H36" s="15">
        <f>37568.85-7000-315.26-213.99-2034.53</f>
        <v>28005.07</v>
      </c>
      <c r="I36" s="145">
        <f t="shared" si="7"/>
        <v>0</v>
      </c>
      <c r="J36" s="141">
        <v>16</v>
      </c>
      <c r="K36" s="142">
        <f t="shared" si="2"/>
        <v>12005.07</v>
      </c>
      <c r="L36" s="146"/>
    </row>
    <row r="37" spans="1:12" ht="13.5" customHeight="1">
      <c r="A37" s="19" t="s">
        <v>13</v>
      </c>
      <c r="B37" s="45"/>
      <c r="C37" s="46"/>
      <c r="D37" s="47">
        <v>25000</v>
      </c>
      <c r="E37" s="46"/>
      <c r="F37" s="14">
        <f t="shared" si="6"/>
        <v>25000</v>
      </c>
      <c r="G37" s="15">
        <v>25000</v>
      </c>
      <c r="H37" s="163">
        <v>12415.1</v>
      </c>
      <c r="I37" s="157">
        <f t="shared" si="7"/>
        <v>0</v>
      </c>
      <c r="J37" s="141">
        <v>35</v>
      </c>
      <c r="K37" s="142">
        <f t="shared" si="2"/>
        <v>-22584.9</v>
      </c>
      <c r="L37" s="146"/>
    </row>
    <row r="38" spans="1:13" s="30" customFormat="1" ht="13.5" customHeight="1">
      <c r="A38" s="11" t="s">
        <v>51</v>
      </c>
      <c r="B38" s="155">
        <f>SUM(B26:B37)</f>
        <v>186000</v>
      </c>
      <c r="C38" s="158">
        <f aca="true" t="shared" si="8" ref="C38:H38">SUM(C26:C37)</f>
        <v>397000</v>
      </c>
      <c r="D38" s="159">
        <f t="shared" si="8"/>
        <v>585000</v>
      </c>
      <c r="E38" s="158">
        <f t="shared" si="8"/>
        <v>0</v>
      </c>
      <c r="F38" s="21">
        <f t="shared" si="8"/>
        <v>1168000</v>
      </c>
      <c r="G38" s="159">
        <f t="shared" si="8"/>
        <v>680000</v>
      </c>
      <c r="H38" s="158">
        <f t="shared" si="8"/>
        <v>675590.8899999999</v>
      </c>
      <c r="I38" s="25">
        <f t="shared" si="7"/>
        <v>0.7176470588235294</v>
      </c>
      <c r="J38" s="37">
        <f>SUM(J26:J37)</f>
        <v>794</v>
      </c>
      <c r="K38" s="142">
        <f t="shared" si="2"/>
        <v>-118409.1100000001</v>
      </c>
      <c r="L38" s="146"/>
      <c r="M38" s="164"/>
    </row>
    <row r="39" spans="2:12" s="165" customFormat="1" ht="12">
      <c r="B39" s="151"/>
      <c r="C39" s="151"/>
      <c r="D39" s="151"/>
      <c r="E39" s="151"/>
      <c r="F39" s="26"/>
      <c r="G39" s="151"/>
      <c r="H39" s="151"/>
      <c r="K39" s="142"/>
      <c r="L39" s="143"/>
    </row>
    <row r="40" spans="2:12" s="165" customFormat="1" ht="12">
      <c r="B40" s="151"/>
      <c r="C40" s="151"/>
      <c r="D40" s="151"/>
      <c r="E40" s="151"/>
      <c r="F40" s="26"/>
      <c r="G40" s="151"/>
      <c r="H40" s="151"/>
      <c r="K40" s="142"/>
      <c r="L40" s="143"/>
    </row>
    <row r="41" spans="2:12" s="165" customFormat="1" ht="12">
      <c r="B41" s="151"/>
      <c r="C41" s="151"/>
      <c r="D41" s="151"/>
      <c r="E41" s="151"/>
      <c r="F41" s="26"/>
      <c r="G41" s="151"/>
      <c r="H41" s="151"/>
      <c r="K41" s="142"/>
      <c r="L41" s="143"/>
    </row>
    <row r="42" spans="1:9" ht="13.5" customHeight="1">
      <c r="A42" s="166" t="s">
        <v>80</v>
      </c>
      <c r="B42" s="167"/>
      <c r="C42" s="27"/>
      <c r="D42" s="168"/>
      <c r="E42" s="27"/>
      <c r="F42" s="28"/>
      <c r="G42" s="168"/>
      <c r="H42" s="27"/>
      <c r="I42" s="169"/>
    </row>
    <row r="43" spans="1:12" ht="13.5" customHeight="1">
      <c r="A43" s="17" t="s">
        <v>63</v>
      </c>
      <c r="B43" s="144">
        <v>65000</v>
      </c>
      <c r="C43" s="13"/>
      <c r="D43" s="12"/>
      <c r="E43" s="13"/>
      <c r="F43" s="14">
        <f>SUM(B43:E43)</f>
        <v>65000</v>
      </c>
      <c r="G43" s="15">
        <v>65000</v>
      </c>
      <c r="H43" s="15">
        <v>42354.27</v>
      </c>
      <c r="I43" s="145">
        <f>(F43-G43)/G43</f>
        <v>0</v>
      </c>
      <c r="J43" s="141">
        <v>75</v>
      </c>
      <c r="K43" s="142">
        <f t="shared" si="2"/>
        <v>-32645.730000000003</v>
      </c>
      <c r="L43" s="146"/>
    </row>
    <row r="44" spans="1:12" ht="13.5" customHeight="1">
      <c r="A44" s="17" t="s">
        <v>52</v>
      </c>
      <c r="B44" s="144"/>
      <c r="C44" s="13">
        <v>4000</v>
      </c>
      <c r="D44" s="12"/>
      <c r="E44" s="13"/>
      <c r="F44" s="14">
        <f aca="true" t="shared" si="9" ref="F44:F52">SUM(B44:E44)</f>
        <v>4000</v>
      </c>
      <c r="G44" s="15">
        <v>4000</v>
      </c>
      <c r="H44" s="15">
        <v>1888</v>
      </c>
      <c r="I44" s="145">
        <f aca="true" t="shared" si="10" ref="I44:I51">(F44-G44)/G44</f>
        <v>0</v>
      </c>
      <c r="J44" s="141">
        <v>2</v>
      </c>
      <c r="K44" s="142">
        <f t="shared" si="2"/>
        <v>-112</v>
      </c>
      <c r="L44" s="146"/>
    </row>
    <row r="45" spans="1:12" ht="13.5" customHeight="1">
      <c r="A45" s="17" t="s">
        <v>14</v>
      </c>
      <c r="B45" s="144"/>
      <c r="C45" s="13">
        <v>35000</v>
      </c>
      <c r="D45" s="12"/>
      <c r="E45" s="13"/>
      <c r="F45" s="14">
        <f t="shared" si="9"/>
        <v>35000</v>
      </c>
      <c r="G45" s="15">
        <v>35000</v>
      </c>
      <c r="H45" s="15">
        <v>26524.88</v>
      </c>
      <c r="I45" s="145">
        <f t="shared" si="10"/>
        <v>0</v>
      </c>
      <c r="J45" s="141">
        <v>35</v>
      </c>
      <c r="K45" s="142">
        <f t="shared" si="2"/>
        <v>-8475.119999999999</v>
      </c>
      <c r="L45" s="146"/>
    </row>
    <row r="46" spans="1:12" ht="13.5" customHeight="1">
      <c r="A46" s="17" t="s">
        <v>16</v>
      </c>
      <c r="B46" s="144"/>
      <c r="C46" s="13">
        <v>1000</v>
      </c>
      <c r="D46" s="12"/>
      <c r="E46" s="13"/>
      <c r="F46" s="14">
        <f t="shared" si="9"/>
        <v>1000</v>
      </c>
      <c r="G46" s="15">
        <v>1000</v>
      </c>
      <c r="H46" s="15">
        <v>0</v>
      </c>
      <c r="I46" s="145">
        <f t="shared" si="10"/>
        <v>0</v>
      </c>
      <c r="J46" s="141">
        <v>1</v>
      </c>
      <c r="K46" s="142">
        <f t="shared" si="2"/>
        <v>-1000</v>
      </c>
      <c r="L46" s="146"/>
    </row>
    <row r="47" spans="1:12" ht="13.5" customHeight="1">
      <c r="A47" s="17" t="s">
        <v>39</v>
      </c>
      <c r="B47" s="144">
        <v>40000</v>
      </c>
      <c r="C47" s="13">
        <v>250000</v>
      </c>
      <c r="D47" s="12"/>
      <c r="E47" s="13"/>
      <c r="F47" s="14">
        <f t="shared" si="9"/>
        <v>290000</v>
      </c>
      <c r="G47" s="15">
        <v>290000</v>
      </c>
      <c r="H47" s="15">
        <f>202885.07+110000</f>
        <v>312885.07</v>
      </c>
      <c r="I47" s="145">
        <f t="shared" si="10"/>
        <v>0</v>
      </c>
      <c r="J47" s="141">
        <v>195</v>
      </c>
      <c r="K47" s="142">
        <f t="shared" si="2"/>
        <v>117885.07</v>
      </c>
      <c r="L47" s="146"/>
    </row>
    <row r="48" spans="1:12" ht="13.5" customHeight="1">
      <c r="A48" s="17" t="s">
        <v>168</v>
      </c>
      <c r="B48" s="144">
        <v>30000</v>
      </c>
      <c r="C48" s="13">
        <v>130000</v>
      </c>
      <c r="D48" s="12"/>
      <c r="E48" s="13"/>
      <c r="F48" s="14">
        <f t="shared" si="9"/>
        <v>160000</v>
      </c>
      <c r="G48" s="15">
        <v>160000</v>
      </c>
      <c r="H48" s="15">
        <f>33436.45+140000</f>
        <v>173436.45</v>
      </c>
      <c r="I48" s="145">
        <f t="shared" si="10"/>
        <v>0</v>
      </c>
      <c r="J48" s="141">
        <v>130</v>
      </c>
      <c r="K48" s="142">
        <f t="shared" si="2"/>
        <v>43436.45000000001</v>
      </c>
      <c r="L48" s="146"/>
    </row>
    <row r="49" spans="1:12" ht="13.5" customHeight="1">
      <c r="A49" s="17" t="s">
        <v>53</v>
      </c>
      <c r="B49" s="144"/>
      <c r="C49" s="13">
        <v>5000</v>
      </c>
      <c r="D49" s="12"/>
      <c r="E49" s="13"/>
      <c r="F49" s="14">
        <f t="shared" si="9"/>
        <v>5000</v>
      </c>
      <c r="G49" s="15">
        <v>5000</v>
      </c>
      <c r="H49" s="15">
        <v>512.72</v>
      </c>
      <c r="I49" s="145">
        <f t="shared" si="10"/>
        <v>0</v>
      </c>
      <c r="J49" s="141">
        <v>1</v>
      </c>
      <c r="K49" s="142">
        <f t="shared" si="2"/>
        <v>-487.28</v>
      </c>
      <c r="L49" s="146"/>
    </row>
    <row r="50" spans="1:12" ht="13.5" customHeight="1">
      <c r="A50" s="17" t="s">
        <v>17</v>
      </c>
      <c r="B50" s="144">
        <v>5000</v>
      </c>
      <c r="C50" s="13">
        <v>20000</v>
      </c>
      <c r="D50" s="12"/>
      <c r="E50" s="13"/>
      <c r="F50" s="14">
        <f t="shared" si="9"/>
        <v>25000</v>
      </c>
      <c r="G50" s="15">
        <v>25000</v>
      </c>
      <c r="H50" s="15">
        <v>42757.62</v>
      </c>
      <c r="I50" s="145">
        <f t="shared" si="10"/>
        <v>0</v>
      </c>
      <c r="J50" s="141">
        <v>15</v>
      </c>
      <c r="K50" s="142">
        <f t="shared" si="2"/>
        <v>27757.620000000003</v>
      </c>
      <c r="L50" s="146"/>
    </row>
    <row r="51" spans="1:12" ht="13.5" customHeight="1">
      <c r="A51" s="17" t="s">
        <v>18</v>
      </c>
      <c r="B51" s="144"/>
      <c r="C51" s="13">
        <v>10000</v>
      </c>
      <c r="D51" s="12"/>
      <c r="E51" s="13"/>
      <c r="F51" s="14">
        <f t="shared" si="9"/>
        <v>10000</v>
      </c>
      <c r="G51" s="15">
        <v>10000</v>
      </c>
      <c r="H51" s="15">
        <v>7603</v>
      </c>
      <c r="I51" s="145">
        <f t="shared" si="10"/>
        <v>0</v>
      </c>
      <c r="J51" s="141">
        <v>15</v>
      </c>
      <c r="K51" s="142">
        <f t="shared" si="2"/>
        <v>-7397</v>
      </c>
      <c r="L51" s="146"/>
    </row>
    <row r="52" spans="1:13" ht="13.5" customHeight="1">
      <c r="A52" s="17" t="s">
        <v>185</v>
      </c>
      <c r="B52" s="144"/>
      <c r="C52" s="13">
        <v>4600000</v>
      </c>
      <c r="D52" s="12"/>
      <c r="E52" s="13"/>
      <c r="F52" s="14">
        <f t="shared" si="9"/>
        <v>4600000</v>
      </c>
      <c r="G52" s="15">
        <v>4350000</v>
      </c>
      <c r="H52" s="15">
        <v>4778648.75</v>
      </c>
      <c r="I52" s="145">
        <f>(F52-G52)/G52</f>
        <v>0.05747126436781609</v>
      </c>
      <c r="J52" s="141">
        <v>2800</v>
      </c>
      <c r="K52" s="142">
        <f t="shared" si="2"/>
        <v>1978648.75</v>
      </c>
      <c r="L52" s="146"/>
      <c r="M52" s="147"/>
    </row>
    <row r="53" spans="1:12" ht="13.5" customHeight="1">
      <c r="A53" s="19" t="s">
        <v>19</v>
      </c>
      <c r="B53" s="45"/>
      <c r="C53" s="46"/>
      <c r="D53" s="47"/>
      <c r="E53" s="46">
        <v>11000</v>
      </c>
      <c r="F53" s="20">
        <f>SUM(B53:E53)</f>
        <v>11000</v>
      </c>
      <c r="G53" s="15">
        <v>11000</v>
      </c>
      <c r="H53" s="163">
        <v>20373.75</v>
      </c>
      <c r="I53" s="157">
        <f>(F53-G53)/G53</f>
        <v>0</v>
      </c>
      <c r="J53" s="141">
        <v>8</v>
      </c>
      <c r="K53" s="142">
        <f t="shared" si="2"/>
        <v>12373.75</v>
      </c>
      <c r="L53" s="146"/>
    </row>
    <row r="54" spans="1:13" s="30" customFormat="1" ht="13.5" customHeight="1">
      <c r="A54" s="11" t="s">
        <v>84</v>
      </c>
      <c r="B54" s="155">
        <f>SUM(B43:B53)</f>
        <v>140000</v>
      </c>
      <c r="C54" s="158">
        <f aca="true" t="shared" si="11" ref="C54:H54">SUM(C43:C53)</f>
        <v>5055000</v>
      </c>
      <c r="D54" s="159">
        <f t="shared" si="11"/>
        <v>0</v>
      </c>
      <c r="E54" s="158">
        <f t="shared" si="11"/>
        <v>11000</v>
      </c>
      <c r="F54" s="21">
        <f t="shared" si="11"/>
        <v>5206000</v>
      </c>
      <c r="G54" s="159">
        <f t="shared" si="11"/>
        <v>4956000</v>
      </c>
      <c r="H54" s="158">
        <f t="shared" si="11"/>
        <v>5406984.51</v>
      </c>
      <c r="I54" s="25">
        <f>(F54-G54)/G54</f>
        <v>0.050443906376109765</v>
      </c>
      <c r="J54" s="30">
        <f>SUM(J43:J53)</f>
        <v>3277</v>
      </c>
      <c r="K54" s="142">
        <f t="shared" si="2"/>
        <v>2129984.51</v>
      </c>
      <c r="L54" s="146"/>
      <c r="M54" s="24"/>
    </row>
    <row r="55" spans="1:9" ht="7.5" customHeight="1">
      <c r="A55" s="156"/>
      <c r="B55" s="137"/>
      <c r="C55" s="138"/>
      <c r="D55" s="139"/>
      <c r="E55" s="138"/>
      <c r="F55" s="22"/>
      <c r="G55" s="139"/>
      <c r="H55" s="138"/>
      <c r="I55" s="140"/>
    </row>
    <row r="56" spans="1:15" s="30" customFormat="1" ht="13.5" customHeight="1">
      <c r="A56" s="18" t="s">
        <v>163</v>
      </c>
      <c r="B56" s="170"/>
      <c r="C56" s="29"/>
      <c r="D56" s="171"/>
      <c r="E56" s="29"/>
      <c r="F56" s="14"/>
      <c r="G56" s="171"/>
      <c r="H56" s="29"/>
      <c r="I56" s="172"/>
      <c r="K56" s="142"/>
      <c r="L56" s="143"/>
      <c r="N56" s="24"/>
      <c r="O56" s="173"/>
    </row>
    <row r="57" spans="1:16" ht="13.5" customHeight="1">
      <c r="A57" s="17" t="s">
        <v>36</v>
      </c>
      <c r="B57" s="144">
        <v>385000</v>
      </c>
      <c r="C57" s="13"/>
      <c r="D57" s="12">
        <v>310000</v>
      </c>
      <c r="E57" s="13"/>
      <c r="F57" s="14">
        <f aca="true" t="shared" si="12" ref="F57:F62">SUM(B57:E57)</f>
        <v>695000</v>
      </c>
      <c r="G57" s="15">
        <v>581000</v>
      </c>
      <c r="H57" s="15">
        <v>532702.34</v>
      </c>
      <c r="I57" s="145">
        <f aca="true" t="shared" si="13" ref="I57:I63">(F57-G57)/G57</f>
        <v>0.1962134251290878</v>
      </c>
      <c r="J57" s="141">
        <v>615</v>
      </c>
      <c r="K57" s="142">
        <f t="shared" si="2"/>
        <v>-82297.66000000003</v>
      </c>
      <c r="L57" s="146"/>
      <c r="M57" s="142"/>
      <c r="N57" s="142"/>
      <c r="O57" s="142"/>
      <c r="P57" s="142"/>
    </row>
    <row r="58" spans="1:18" ht="13.5" customHeight="1">
      <c r="A58" s="17" t="s">
        <v>37</v>
      </c>
      <c r="B58" s="144">
        <v>485000</v>
      </c>
      <c r="C58" s="13">
        <v>1145000</v>
      </c>
      <c r="D58" s="12">
        <v>905000</v>
      </c>
      <c r="E58" s="13">
        <v>325000</v>
      </c>
      <c r="F58" s="14">
        <f t="shared" si="12"/>
        <v>2860000</v>
      </c>
      <c r="G58" s="15">
        <v>2677000</v>
      </c>
      <c r="H58" s="15">
        <v>2291521.52</v>
      </c>
      <c r="I58" s="145">
        <f t="shared" si="13"/>
        <v>0.06836010459469556</v>
      </c>
      <c r="J58" s="141">
        <v>1742</v>
      </c>
      <c r="K58" s="142">
        <f t="shared" si="2"/>
        <v>549521.52</v>
      </c>
      <c r="L58" s="146"/>
      <c r="M58" s="146"/>
      <c r="N58" s="146"/>
      <c r="O58" s="174"/>
      <c r="P58" s="174"/>
      <c r="Q58" s="174"/>
      <c r="R58" s="174"/>
    </row>
    <row r="59" spans="1:15" ht="13.5" customHeight="1">
      <c r="A59" s="17" t="s">
        <v>184</v>
      </c>
      <c r="B59" s="144"/>
      <c r="C59" s="13"/>
      <c r="D59" s="12"/>
      <c r="E59" s="13">
        <v>80000</v>
      </c>
      <c r="F59" s="14">
        <f t="shared" si="12"/>
        <v>80000</v>
      </c>
      <c r="G59" s="15">
        <v>113000</v>
      </c>
      <c r="H59" s="15">
        <v>60319.56</v>
      </c>
      <c r="I59" s="145">
        <f t="shared" si="13"/>
        <v>-0.2920353982300885</v>
      </c>
      <c r="J59" s="141">
        <v>40</v>
      </c>
      <c r="K59" s="142">
        <f t="shared" si="2"/>
        <v>20319.559999999998</v>
      </c>
      <c r="L59" s="146"/>
      <c r="M59" s="142"/>
      <c r="N59" s="142"/>
      <c r="O59" s="142"/>
    </row>
    <row r="60" spans="1:15" ht="13.5" customHeight="1">
      <c r="A60" s="17" t="s">
        <v>81</v>
      </c>
      <c r="B60" s="144"/>
      <c r="C60" s="13"/>
      <c r="D60" s="12"/>
      <c r="E60" s="13"/>
      <c r="F60" s="14">
        <f t="shared" si="12"/>
        <v>0</v>
      </c>
      <c r="G60" s="15"/>
      <c r="H60" s="15"/>
      <c r="I60" s="145"/>
      <c r="L60" s="146"/>
      <c r="M60" s="142"/>
      <c r="O60" s="175"/>
    </row>
    <row r="61" spans="1:18" ht="13.5" customHeight="1">
      <c r="A61" s="17" t="s">
        <v>82</v>
      </c>
      <c r="B61" s="144">
        <v>255000</v>
      </c>
      <c r="C61" s="13">
        <v>335000</v>
      </c>
      <c r="D61" s="12">
        <v>355000</v>
      </c>
      <c r="E61" s="13">
        <v>50000</v>
      </c>
      <c r="F61" s="14">
        <f t="shared" si="12"/>
        <v>995000</v>
      </c>
      <c r="G61" s="15">
        <v>919000</v>
      </c>
      <c r="H61" s="15">
        <v>786100.69</v>
      </c>
      <c r="I61" s="145">
        <f t="shared" si="13"/>
        <v>0.08269858541893363</v>
      </c>
      <c r="J61" s="141">
        <v>620</v>
      </c>
      <c r="K61" s="142">
        <f t="shared" si="2"/>
        <v>166100.68999999994</v>
      </c>
      <c r="L61" s="147"/>
      <c r="M61" s="147"/>
      <c r="N61" s="147"/>
      <c r="O61" s="147"/>
      <c r="P61" s="147"/>
      <c r="Q61" s="147"/>
      <c r="R61" s="147"/>
    </row>
    <row r="62" spans="1:12" ht="13.5" customHeight="1">
      <c r="A62" s="19" t="s">
        <v>55</v>
      </c>
      <c r="B62" s="45"/>
      <c r="C62" s="46"/>
      <c r="D62" s="47"/>
      <c r="E62" s="46">
        <v>8000</v>
      </c>
      <c r="F62" s="14">
        <f t="shared" si="12"/>
        <v>8000</v>
      </c>
      <c r="G62" s="15">
        <v>8000</v>
      </c>
      <c r="H62" s="163">
        <v>5419.58</v>
      </c>
      <c r="I62" s="157">
        <f>(F62-G62)/G62</f>
        <v>0</v>
      </c>
      <c r="J62" s="141">
        <v>8</v>
      </c>
      <c r="K62" s="142">
        <f t="shared" si="2"/>
        <v>-2580.42</v>
      </c>
      <c r="L62" s="146"/>
    </row>
    <row r="63" spans="1:14" s="30" customFormat="1" ht="13.5" customHeight="1">
      <c r="A63" s="11" t="s">
        <v>56</v>
      </c>
      <c r="B63" s="155">
        <f>SUM(B57:B59,B61,B62)</f>
        <v>1125000</v>
      </c>
      <c r="C63" s="158">
        <f aca="true" t="shared" si="14" ref="C63:H63">SUM(C57:C59,C61,C62)</f>
        <v>1480000</v>
      </c>
      <c r="D63" s="159">
        <f t="shared" si="14"/>
        <v>1570000</v>
      </c>
      <c r="E63" s="158">
        <f t="shared" si="14"/>
        <v>463000</v>
      </c>
      <c r="F63" s="21">
        <f t="shared" si="14"/>
        <v>4638000</v>
      </c>
      <c r="G63" s="159">
        <f t="shared" si="14"/>
        <v>4298000</v>
      </c>
      <c r="H63" s="158">
        <f t="shared" si="14"/>
        <v>3676063.69</v>
      </c>
      <c r="I63" s="25">
        <f t="shared" si="13"/>
        <v>0.07910656119125174</v>
      </c>
      <c r="J63" s="30">
        <f>SUM(J57:J62)</f>
        <v>3025</v>
      </c>
      <c r="K63" s="142">
        <f t="shared" si="2"/>
        <v>651063.69</v>
      </c>
      <c r="L63" s="146"/>
      <c r="M63" s="142"/>
      <c r="N63" s="142"/>
    </row>
    <row r="64" spans="1:9" ht="7.5" customHeight="1">
      <c r="A64" s="156"/>
      <c r="B64" s="137"/>
      <c r="C64" s="138"/>
      <c r="D64" s="139"/>
      <c r="E64" s="138"/>
      <c r="F64" s="22"/>
      <c r="G64" s="139"/>
      <c r="H64" s="138"/>
      <c r="I64" s="140"/>
    </row>
    <row r="65" spans="1:12" s="30" customFormat="1" ht="13.5" customHeight="1">
      <c r="A65" s="18" t="s">
        <v>20</v>
      </c>
      <c r="B65" s="170"/>
      <c r="C65" s="29"/>
      <c r="D65" s="171"/>
      <c r="E65" s="29"/>
      <c r="F65" s="14"/>
      <c r="G65" s="171"/>
      <c r="H65" s="29"/>
      <c r="I65" s="172"/>
      <c r="K65" s="142"/>
      <c r="L65" s="143"/>
    </row>
    <row r="66" spans="1:9" ht="13.5" customHeight="1">
      <c r="A66" s="17" t="s">
        <v>57</v>
      </c>
      <c r="B66" s="144"/>
      <c r="C66" s="13"/>
      <c r="D66" s="12"/>
      <c r="E66" s="13"/>
      <c r="F66" s="14"/>
      <c r="G66" s="12"/>
      <c r="H66" s="13"/>
      <c r="I66" s="16"/>
    </row>
    <row r="67" spans="1:12" ht="13.5" customHeight="1">
      <c r="A67" s="19" t="s">
        <v>58</v>
      </c>
      <c r="B67" s="45">
        <v>170000</v>
      </c>
      <c r="C67" s="46">
        <v>15000</v>
      </c>
      <c r="D67" s="47">
        <v>22000</v>
      </c>
      <c r="E67" s="46">
        <v>35000</v>
      </c>
      <c r="F67" s="20">
        <f>SUM(B67:E67)</f>
        <v>242000</v>
      </c>
      <c r="G67" s="15">
        <v>242000</v>
      </c>
      <c r="H67" s="163">
        <v>270970.36</v>
      </c>
      <c r="I67" s="157">
        <f>(F67-G67)/G67</f>
        <v>0</v>
      </c>
      <c r="J67" s="142">
        <v>277</v>
      </c>
      <c r="K67" s="142">
        <f t="shared" si="2"/>
        <v>-6029.640000000014</v>
      </c>
      <c r="L67" s="146"/>
    </row>
    <row r="68" spans="1:12" s="30" customFormat="1" ht="13.5" customHeight="1">
      <c r="A68" s="11" t="s">
        <v>59</v>
      </c>
      <c r="B68" s="158">
        <f aca="true" t="shared" si="15" ref="B68:H68">SUM(B67)</f>
        <v>170000</v>
      </c>
      <c r="C68" s="158">
        <f t="shared" si="15"/>
        <v>15000</v>
      </c>
      <c r="D68" s="159">
        <f t="shared" si="15"/>
        <v>22000</v>
      </c>
      <c r="E68" s="158">
        <f t="shared" si="15"/>
        <v>35000</v>
      </c>
      <c r="F68" s="21">
        <f t="shared" si="15"/>
        <v>242000</v>
      </c>
      <c r="G68" s="159">
        <f t="shared" si="15"/>
        <v>242000</v>
      </c>
      <c r="H68" s="158">
        <f t="shared" si="15"/>
        <v>270970.36</v>
      </c>
      <c r="I68" s="25">
        <f>(F68-G68)/G68</f>
        <v>0</v>
      </c>
      <c r="K68" s="142"/>
      <c r="L68" s="143"/>
    </row>
    <row r="69" spans="1:9" ht="7.5" customHeight="1">
      <c r="A69" s="156"/>
      <c r="B69" s="137"/>
      <c r="C69" s="138"/>
      <c r="D69" s="139"/>
      <c r="E69" s="138"/>
      <c r="F69" s="22"/>
      <c r="G69" s="139"/>
      <c r="H69" s="138"/>
      <c r="I69" s="140"/>
    </row>
    <row r="70" spans="1:12" s="30" customFormat="1" ht="13.5" customHeight="1">
      <c r="A70" s="18" t="s">
        <v>85</v>
      </c>
      <c r="B70" s="170"/>
      <c r="C70" s="29"/>
      <c r="D70" s="171"/>
      <c r="E70" s="29"/>
      <c r="F70" s="14"/>
      <c r="G70" s="171"/>
      <c r="H70" s="29"/>
      <c r="I70" s="172"/>
      <c r="K70" s="142"/>
      <c r="L70" s="143"/>
    </row>
    <row r="71" spans="1:12" ht="13.5" customHeight="1">
      <c r="A71" s="19" t="s">
        <v>60</v>
      </c>
      <c r="B71" s="45">
        <v>40000</v>
      </c>
      <c r="C71" s="46">
        <v>11000</v>
      </c>
      <c r="D71" s="47">
        <v>27000</v>
      </c>
      <c r="E71" s="46">
        <v>13000</v>
      </c>
      <c r="F71" s="20">
        <f>SUM(B71:E71)</f>
        <v>91000</v>
      </c>
      <c r="G71" s="15">
        <v>85000</v>
      </c>
      <c r="H71" s="163">
        <v>80912.53</v>
      </c>
      <c r="I71" s="157">
        <f>(F71-G71)/G71</f>
        <v>0.07058823529411765</v>
      </c>
      <c r="J71" s="141">
        <v>80</v>
      </c>
      <c r="K71" s="142">
        <f aca="true" t="shared" si="16" ref="K71:K108">H71-(J71*1000)</f>
        <v>912.5299999999988</v>
      </c>
      <c r="L71" s="146"/>
    </row>
    <row r="72" spans="1:12" s="30" customFormat="1" ht="13.5" customHeight="1">
      <c r="A72" s="11" t="s">
        <v>61</v>
      </c>
      <c r="B72" s="155">
        <f>SUM(B71)</f>
        <v>40000</v>
      </c>
      <c r="C72" s="158">
        <f aca="true" t="shared" si="17" ref="C72:H72">SUM(C71)</f>
        <v>11000</v>
      </c>
      <c r="D72" s="159">
        <f t="shared" si="17"/>
        <v>27000</v>
      </c>
      <c r="E72" s="158">
        <f t="shared" si="17"/>
        <v>13000</v>
      </c>
      <c r="F72" s="21">
        <f t="shared" si="17"/>
        <v>91000</v>
      </c>
      <c r="G72" s="159">
        <f t="shared" si="17"/>
        <v>85000</v>
      </c>
      <c r="H72" s="158">
        <f t="shared" si="17"/>
        <v>80912.53</v>
      </c>
      <c r="I72" s="25">
        <f>(F72-G72)/G72</f>
        <v>0.07058823529411765</v>
      </c>
      <c r="K72" s="142"/>
      <c r="L72" s="143"/>
    </row>
    <row r="73" spans="1:9" ht="7.5" customHeight="1">
      <c r="A73" s="156"/>
      <c r="B73" s="137"/>
      <c r="C73" s="138"/>
      <c r="D73" s="139"/>
      <c r="E73" s="138"/>
      <c r="F73" s="22"/>
      <c r="G73" s="139"/>
      <c r="H73" s="138"/>
      <c r="I73" s="140"/>
    </row>
    <row r="74" spans="1:12" s="30" customFormat="1" ht="13.5" customHeight="1">
      <c r="A74" s="18" t="s">
        <v>62</v>
      </c>
      <c r="B74" s="170"/>
      <c r="C74" s="29"/>
      <c r="D74" s="171"/>
      <c r="E74" s="29"/>
      <c r="F74" s="14"/>
      <c r="G74" s="171"/>
      <c r="H74" s="29"/>
      <c r="I74" s="172"/>
      <c r="K74" s="142"/>
      <c r="L74" s="143"/>
    </row>
    <row r="75" spans="1:15" ht="13.5" customHeight="1">
      <c r="A75" s="17" t="s">
        <v>174</v>
      </c>
      <c r="B75" s="144">
        <v>64000</v>
      </c>
      <c r="C75" s="13">
        <v>386000</v>
      </c>
      <c r="D75" s="12">
        <v>347000</v>
      </c>
      <c r="E75" s="13">
        <f>185000+61000</f>
        <v>246000</v>
      </c>
      <c r="F75" s="14">
        <f aca="true" t="shared" si="18" ref="F75:F111">SUM(B75:E75)</f>
        <v>1043000</v>
      </c>
      <c r="G75" s="15">
        <v>1067000</v>
      </c>
      <c r="H75" s="15">
        <f>1831120.5-H76</f>
        <v>1579733.73</v>
      </c>
      <c r="I75" s="145">
        <f>(F75-G75)/G75</f>
        <v>-0.022492970946579195</v>
      </c>
      <c r="J75" s="141">
        <v>2431</v>
      </c>
      <c r="K75" s="142">
        <f t="shared" si="16"/>
        <v>-851266.27</v>
      </c>
      <c r="L75" s="146"/>
      <c r="M75" s="142"/>
      <c r="N75" s="142"/>
      <c r="O75" s="142"/>
    </row>
    <row r="76" spans="1:13" ht="13.5" customHeight="1">
      <c r="A76" s="17" t="s">
        <v>164</v>
      </c>
      <c r="B76" s="144"/>
      <c r="C76" s="13">
        <v>69000</v>
      </c>
      <c r="D76" s="12">
        <v>115000</v>
      </c>
      <c r="E76" s="13">
        <v>68000</v>
      </c>
      <c r="F76" s="14">
        <f t="shared" si="18"/>
        <v>252000</v>
      </c>
      <c r="G76" s="15">
        <v>251000</v>
      </c>
      <c r="H76" s="15">
        <v>251386.77</v>
      </c>
      <c r="I76" s="145">
        <f>(F76-G76)/G76</f>
        <v>0.00398406374501992</v>
      </c>
      <c r="J76" s="142">
        <v>292</v>
      </c>
      <c r="K76" s="142">
        <f t="shared" si="16"/>
        <v>-40613.23000000001</v>
      </c>
      <c r="L76" s="146"/>
      <c r="M76" s="142"/>
    </row>
    <row r="77" spans="1:14" ht="13.5" customHeight="1">
      <c r="A77" s="17" t="s">
        <v>21</v>
      </c>
      <c r="B77" s="144"/>
      <c r="C77" s="13">
        <v>79000</v>
      </c>
      <c r="D77" s="12"/>
      <c r="E77" s="13"/>
      <c r="F77" s="14">
        <f t="shared" si="18"/>
        <v>79000</v>
      </c>
      <c r="G77" s="15">
        <v>80000</v>
      </c>
      <c r="H77" s="15">
        <v>68594.62</v>
      </c>
      <c r="I77" s="145">
        <f aca="true" t="shared" si="19" ref="I77:I83">(F77-G77)/G77</f>
        <v>-0.0125</v>
      </c>
      <c r="J77" s="141">
        <v>69</v>
      </c>
      <c r="K77" s="142">
        <f t="shared" si="16"/>
        <v>-405.38000000000466</v>
      </c>
      <c r="L77" s="146"/>
      <c r="M77" s="142"/>
      <c r="N77" s="142"/>
    </row>
    <row r="78" spans="1:14" ht="13.5" customHeight="1">
      <c r="A78" s="17" t="s">
        <v>22</v>
      </c>
      <c r="B78" s="144">
        <v>2000</v>
      </c>
      <c r="C78" s="13">
        <v>35000</v>
      </c>
      <c r="D78" s="12">
        <v>2000</v>
      </c>
      <c r="E78" s="13"/>
      <c r="F78" s="14">
        <f t="shared" si="18"/>
        <v>39000</v>
      </c>
      <c r="G78" s="15">
        <v>38000</v>
      </c>
      <c r="H78" s="15">
        <v>59014.43</v>
      </c>
      <c r="I78" s="145">
        <f t="shared" si="19"/>
        <v>0.02631578947368421</v>
      </c>
      <c r="J78" s="141">
        <v>75</v>
      </c>
      <c r="K78" s="142">
        <f t="shared" si="16"/>
        <v>-15985.57</v>
      </c>
      <c r="L78" s="146"/>
      <c r="N78" s="142"/>
    </row>
    <row r="79" spans="1:12" ht="13.5" customHeight="1">
      <c r="A79" s="17" t="s">
        <v>65</v>
      </c>
      <c r="B79" s="144">
        <v>10000</v>
      </c>
      <c r="C79" s="13">
        <v>39000</v>
      </c>
      <c r="D79" s="12">
        <v>4000</v>
      </c>
      <c r="E79" s="13"/>
      <c r="F79" s="14">
        <f t="shared" si="18"/>
        <v>53000</v>
      </c>
      <c r="G79" s="15">
        <v>50000</v>
      </c>
      <c r="H79" s="15">
        <f>29831.95+20414.22</f>
        <v>50246.17</v>
      </c>
      <c r="I79" s="145">
        <f t="shared" si="19"/>
        <v>0.06</v>
      </c>
      <c r="J79" s="141">
        <v>91</v>
      </c>
      <c r="K79" s="142">
        <f t="shared" si="16"/>
        <v>-40753.83</v>
      </c>
      <c r="L79" s="146"/>
    </row>
    <row r="80" spans="1:12" ht="13.5" customHeight="1">
      <c r="A80" s="17" t="s">
        <v>23</v>
      </c>
      <c r="B80" s="144">
        <v>12000</v>
      </c>
      <c r="C80" s="13">
        <v>73000</v>
      </c>
      <c r="D80" s="12"/>
      <c r="E80" s="13"/>
      <c r="F80" s="14">
        <f t="shared" si="18"/>
        <v>85000</v>
      </c>
      <c r="G80" s="15">
        <v>85000</v>
      </c>
      <c r="H80" s="15">
        <v>70231.55</v>
      </c>
      <c r="I80" s="145">
        <f t="shared" si="19"/>
        <v>0</v>
      </c>
      <c r="J80" s="141">
        <v>90</v>
      </c>
      <c r="K80" s="142">
        <f t="shared" si="16"/>
        <v>-19768.449999999997</v>
      </c>
      <c r="L80" s="146"/>
    </row>
    <row r="81" spans="1:12" ht="13.5" customHeight="1">
      <c r="A81" s="17" t="s">
        <v>66</v>
      </c>
      <c r="B81" s="144"/>
      <c r="C81" s="13">
        <v>33000</v>
      </c>
      <c r="D81" s="12"/>
      <c r="E81" s="13"/>
      <c r="F81" s="14">
        <f t="shared" si="18"/>
        <v>33000</v>
      </c>
      <c r="G81" s="15">
        <v>33000</v>
      </c>
      <c r="H81" s="15">
        <v>33000</v>
      </c>
      <c r="I81" s="145">
        <f t="shared" si="19"/>
        <v>0</v>
      </c>
      <c r="J81" s="141">
        <v>33</v>
      </c>
      <c r="K81" s="142">
        <f t="shared" si="16"/>
        <v>0</v>
      </c>
      <c r="L81" s="146"/>
    </row>
    <row r="82" spans="1:12" ht="13.5" customHeight="1">
      <c r="A82" s="17" t="s">
        <v>67</v>
      </c>
      <c r="B82" s="144">
        <v>25000</v>
      </c>
      <c r="C82" s="13">
        <v>190000</v>
      </c>
      <c r="D82" s="12"/>
      <c r="E82" s="13"/>
      <c r="F82" s="14">
        <f t="shared" si="18"/>
        <v>215000</v>
      </c>
      <c r="G82" s="15">
        <v>215000</v>
      </c>
      <c r="H82" s="15">
        <f>132118.83+120000</f>
        <v>252118.83</v>
      </c>
      <c r="I82" s="145">
        <f t="shared" si="19"/>
        <v>0</v>
      </c>
      <c r="J82" s="141">
        <v>160</v>
      </c>
      <c r="K82" s="142">
        <f t="shared" si="16"/>
        <v>92118.82999999999</v>
      </c>
      <c r="L82" s="146"/>
    </row>
    <row r="83" spans="1:12" ht="13.5" customHeight="1">
      <c r="A83" s="17" t="s">
        <v>15</v>
      </c>
      <c r="B83" s="144">
        <v>3000</v>
      </c>
      <c r="C83" s="13">
        <v>20000</v>
      </c>
      <c r="D83" s="12"/>
      <c r="E83" s="13"/>
      <c r="F83" s="14">
        <f t="shared" si="18"/>
        <v>23000</v>
      </c>
      <c r="G83" s="15">
        <v>23000</v>
      </c>
      <c r="H83" s="15">
        <v>56776.09</v>
      </c>
      <c r="I83" s="145">
        <f t="shared" si="19"/>
        <v>0</v>
      </c>
      <c r="J83" s="141">
        <v>24</v>
      </c>
      <c r="K83" s="142">
        <f t="shared" si="16"/>
        <v>32776.09</v>
      </c>
      <c r="L83" s="146"/>
    </row>
    <row r="84" spans="1:12" ht="13.5" customHeight="1">
      <c r="A84" s="17" t="s">
        <v>68</v>
      </c>
      <c r="B84" s="144">
        <v>10000</v>
      </c>
      <c r="C84" s="13">
        <v>40000</v>
      </c>
      <c r="D84" s="12"/>
      <c r="E84" s="13"/>
      <c r="F84" s="14">
        <f t="shared" si="18"/>
        <v>50000</v>
      </c>
      <c r="G84" s="15">
        <v>50000</v>
      </c>
      <c r="H84" s="15">
        <v>38789.71</v>
      </c>
      <c r="I84" s="145">
        <f>(F84-G84)/G84</f>
        <v>0</v>
      </c>
      <c r="J84" s="141">
        <v>28</v>
      </c>
      <c r="K84" s="142">
        <f t="shared" si="16"/>
        <v>10789.71</v>
      </c>
      <c r="L84" s="146"/>
    </row>
    <row r="85" spans="1:12" ht="13.5" customHeight="1">
      <c r="A85" s="17" t="s">
        <v>169</v>
      </c>
      <c r="B85" s="144"/>
      <c r="C85" s="13">
        <v>260000</v>
      </c>
      <c r="D85" s="12"/>
      <c r="E85" s="13"/>
      <c r="F85" s="14">
        <f t="shared" si="18"/>
        <v>260000</v>
      </c>
      <c r="G85" s="15">
        <v>260000</v>
      </c>
      <c r="H85" s="15">
        <f>231575+7579.95+40000</f>
        <v>279154.95</v>
      </c>
      <c r="I85" s="145">
        <f>(F85-G85)/G85</f>
        <v>0</v>
      </c>
      <c r="J85" s="141">
        <v>275</v>
      </c>
      <c r="K85" s="142">
        <f t="shared" si="16"/>
        <v>4154.950000000012</v>
      </c>
      <c r="L85" s="146"/>
    </row>
    <row r="86" spans="1:12" ht="13.5" customHeight="1">
      <c r="A86" s="17" t="s">
        <v>24</v>
      </c>
      <c r="B86" s="144"/>
      <c r="C86" s="13">
        <v>2000</v>
      </c>
      <c r="D86" s="12"/>
      <c r="E86" s="13"/>
      <c r="F86" s="14">
        <f t="shared" si="18"/>
        <v>2000</v>
      </c>
      <c r="G86" s="15">
        <v>2000</v>
      </c>
      <c r="H86" s="15">
        <v>2188</v>
      </c>
      <c r="I86" s="145">
        <f>(F86-G86)/G86</f>
        <v>0</v>
      </c>
      <c r="J86" s="141">
        <v>2</v>
      </c>
      <c r="K86" s="142">
        <f t="shared" si="16"/>
        <v>188</v>
      </c>
      <c r="L86" s="146"/>
    </row>
    <row r="87" spans="1:12" ht="13.5" customHeight="1">
      <c r="A87" s="17" t="s">
        <v>25</v>
      </c>
      <c r="B87" s="144"/>
      <c r="C87" s="13">
        <v>4000</v>
      </c>
      <c r="D87" s="12"/>
      <c r="E87" s="13"/>
      <c r="F87" s="14">
        <f t="shared" si="18"/>
        <v>4000</v>
      </c>
      <c r="G87" s="15">
        <v>4000</v>
      </c>
      <c r="H87" s="15">
        <v>3120</v>
      </c>
      <c r="I87" s="145">
        <f aca="true" t="shared" si="20" ref="I87:I101">(F87-G87)/G87</f>
        <v>0</v>
      </c>
      <c r="J87" s="141">
        <v>20</v>
      </c>
      <c r="K87" s="142">
        <f t="shared" si="16"/>
        <v>-16880</v>
      </c>
      <c r="L87" s="146"/>
    </row>
    <row r="88" spans="1:12" ht="13.5" customHeight="1">
      <c r="A88" s="17" t="s">
        <v>26</v>
      </c>
      <c r="B88" s="144"/>
      <c r="C88" s="13">
        <v>5000</v>
      </c>
      <c r="D88" s="12"/>
      <c r="E88" s="13"/>
      <c r="F88" s="14">
        <f t="shared" si="18"/>
        <v>5000</v>
      </c>
      <c r="G88" s="15">
        <v>5000</v>
      </c>
      <c r="H88" s="15">
        <v>8847.68</v>
      </c>
      <c r="I88" s="145">
        <f t="shared" si="20"/>
        <v>0</v>
      </c>
      <c r="J88" s="141">
        <v>3</v>
      </c>
      <c r="K88" s="142">
        <f t="shared" si="16"/>
        <v>5847.68</v>
      </c>
      <c r="L88" s="146"/>
    </row>
    <row r="89" spans="1:12" ht="13.5" customHeight="1">
      <c r="A89" s="17" t="s">
        <v>181</v>
      </c>
      <c r="B89" s="144"/>
      <c r="C89" s="13">
        <v>30000</v>
      </c>
      <c r="D89" s="12"/>
      <c r="E89" s="13"/>
      <c r="F89" s="14">
        <f t="shared" si="18"/>
        <v>30000</v>
      </c>
      <c r="G89" s="15">
        <v>40000</v>
      </c>
      <c r="H89" s="15">
        <v>27500</v>
      </c>
      <c r="I89" s="145">
        <f t="shared" si="20"/>
        <v>-0.25</v>
      </c>
      <c r="J89" s="141">
        <v>30</v>
      </c>
      <c r="K89" s="142">
        <f t="shared" si="16"/>
        <v>-2500</v>
      </c>
      <c r="L89" s="146"/>
    </row>
    <row r="90" spans="1:12" ht="13.5" customHeight="1">
      <c r="A90" s="17" t="s">
        <v>27</v>
      </c>
      <c r="B90" s="144"/>
      <c r="C90" s="13">
        <v>1000</v>
      </c>
      <c r="D90" s="12"/>
      <c r="E90" s="13"/>
      <c r="F90" s="14">
        <f t="shared" si="18"/>
        <v>1000</v>
      </c>
      <c r="G90" s="15">
        <v>1000</v>
      </c>
      <c r="H90" s="15">
        <v>0</v>
      </c>
      <c r="I90" s="145">
        <f t="shared" si="20"/>
        <v>0</v>
      </c>
      <c r="J90" s="141">
        <v>1</v>
      </c>
      <c r="K90" s="142">
        <f t="shared" si="16"/>
        <v>-1000</v>
      </c>
      <c r="L90" s="146"/>
    </row>
    <row r="91" spans="1:12" ht="13.5" customHeight="1">
      <c r="A91" s="17" t="s">
        <v>28</v>
      </c>
      <c r="B91" s="144">
        <v>5000</v>
      </c>
      <c r="C91" s="13">
        <v>20000</v>
      </c>
      <c r="D91" s="12"/>
      <c r="E91" s="13"/>
      <c r="F91" s="14">
        <f t="shared" si="18"/>
        <v>25000</v>
      </c>
      <c r="G91" s="15">
        <v>25000</v>
      </c>
      <c r="H91" s="15">
        <v>31959.35</v>
      </c>
      <c r="I91" s="145">
        <f t="shared" si="20"/>
        <v>0</v>
      </c>
      <c r="J91" s="141">
        <v>17</v>
      </c>
      <c r="K91" s="142">
        <f t="shared" si="16"/>
        <v>14959.349999999999</v>
      </c>
      <c r="L91" s="146"/>
    </row>
    <row r="92" spans="1:12" ht="13.5" customHeight="1">
      <c r="A92" s="17" t="s">
        <v>29</v>
      </c>
      <c r="B92" s="144"/>
      <c r="C92" s="13">
        <v>10000</v>
      </c>
      <c r="D92" s="12"/>
      <c r="E92" s="13"/>
      <c r="F92" s="14">
        <f t="shared" si="18"/>
        <v>10000</v>
      </c>
      <c r="G92" s="15">
        <v>10000</v>
      </c>
      <c r="H92" s="15">
        <v>13939.59</v>
      </c>
      <c r="I92" s="145">
        <f t="shared" si="20"/>
        <v>0</v>
      </c>
      <c r="J92" s="141">
        <v>8</v>
      </c>
      <c r="K92" s="142">
        <f t="shared" si="16"/>
        <v>5939.59</v>
      </c>
      <c r="L92" s="146"/>
    </row>
    <row r="93" spans="1:12" ht="13.5" customHeight="1">
      <c r="A93" s="17" t="s">
        <v>31</v>
      </c>
      <c r="B93" s="144"/>
      <c r="C93" s="13">
        <v>170000</v>
      </c>
      <c r="D93" s="12"/>
      <c r="E93" s="13"/>
      <c r="F93" s="14">
        <f t="shared" si="18"/>
        <v>170000</v>
      </c>
      <c r="G93" s="15">
        <v>170000</v>
      </c>
      <c r="H93" s="15">
        <f>149497.52+50000</f>
        <v>199497.52</v>
      </c>
      <c r="I93" s="145">
        <f t="shared" si="20"/>
        <v>0</v>
      </c>
      <c r="J93" s="141">
        <v>110</v>
      </c>
      <c r="K93" s="142">
        <f t="shared" si="16"/>
        <v>89497.51999999999</v>
      </c>
      <c r="L93" s="146"/>
    </row>
    <row r="94" spans="1:12" ht="13.5" customHeight="1">
      <c r="A94" s="17" t="s">
        <v>69</v>
      </c>
      <c r="B94" s="170"/>
      <c r="C94" s="13">
        <v>60000</v>
      </c>
      <c r="D94" s="12"/>
      <c r="E94" s="13"/>
      <c r="F94" s="14">
        <f t="shared" si="18"/>
        <v>60000</v>
      </c>
      <c r="G94" s="15">
        <v>60000</v>
      </c>
      <c r="H94" s="15">
        <v>71500</v>
      </c>
      <c r="I94" s="145">
        <f t="shared" si="20"/>
        <v>0</v>
      </c>
      <c r="J94" s="141">
        <v>60</v>
      </c>
      <c r="K94" s="142">
        <f t="shared" si="16"/>
        <v>11500</v>
      </c>
      <c r="L94" s="146"/>
    </row>
    <row r="95" spans="1:12" ht="13.5" customHeight="1">
      <c r="A95" s="17" t="s">
        <v>170</v>
      </c>
      <c r="B95" s="144"/>
      <c r="C95" s="13">
        <v>10000</v>
      </c>
      <c r="D95" s="12"/>
      <c r="E95" s="13"/>
      <c r="F95" s="14">
        <f t="shared" si="18"/>
        <v>10000</v>
      </c>
      <c r="G95" s="15">
        <v>10000</v>
      </c>
      <c r="H95" s="15">
        <v>7200.35</v>
      </c>
      <c r="I95" s="145">
        <f t="shared" si="20"/>
        <v>0</v>
      </c>
      <c r="J95" s="141">
        <v>2</v>
      </c>
      <c r="K95" s="142">
        <f t="shared" si="16"/>
        <v>5200.35</v>
      </c>
      <c r="L95" s="146"/>
    </row>
    <row r="96" spans="1:14" ht="12">
      <c r="A96" s="17" t="s">
        <v>178</v>
      </c>
      <c r="B96" s="144"/>
      <c r="C96" s="13">
        <v>8000</v>
      </c>
      <c r="D96" s="12"/>
      <c r="E96" s="13"/>
      <c r="F96" s="14">
        <f t="shared" si="18"/>
        <v>8000</v>
      </c>
      <c r="G96" s="15">
        <v>8000</v>
      </c>
      <c r="H96" s="15">
        <f>32380.75+20584.02</f>
        <v>52964.770000000004</v>
      </c>
      <c r="I96" s="145">
        <f t="shared" si="20"/>
        <v>0</v>
      </c>
      <c r="J96" s="141">
        <v>5</v>
      </c>
      <c r="K96" s="142">
        <f t="shared" si="16"/>
        <v>47964.770000000004</v>
      </c>
      <c r="L96" s="146"/>
      <c r="N96" s="176"/>
    </row>
    <row r="97" spans="1:14" ht="13.5" customHeight="1">
      <c r="A97" s="17" t="s">
        <v>171</v>
      </c>
      <c r="B97" s="144"/>
      <c r="C97" s="13">
        <v>8000</v>
      </c>
      <c r="D97" s="12"/>
      <c r="E97" s="13"/>
      <c r="F97" s="14">
        <f t="shared" si="18"/>
        <v>8000</v>
      </c>
      <c r="G97" s="15">
        <v>8000</v>
      </c>
      <c r="H97" s="15">
        <v>1168.69</v>
      </c>
      <c r="I97" s="145">
        <f t="shared" si="20"/>
        <v>0</v>
      </c>
      <c r="J97" s="141">
        <v>2</v>
      </c>
      <c r="K97" s="142">
        <f t="shared" si="16"/>
        <v>-831.31</v>
      </c>
      <c r="L97" s="146"/>
      <c r="N97" s="176"/>
    </row>
    <row r="98" spans="1:14" ht="13.5" customHeight="1">
      <c r="A98" s="17" t="s">
        <v>186</v>
      </c>
      <c r="B98" s="144"/>
      <c r="C98" s="13">
        <v>75000</v>
      </c>
      <c r="D98" s="12"/>
      <c r="E98" s="13"/>
      <c r="F98" s="14">
        <f t="shared" si="18"/>
        <v>75000</v>
      </c>
      <c r="G98" s="15">
        <v>75000</v>
      </c>
      <c r="H98" s="15">
        <f>43337+31580.59</f>
        <v>74917.59</v>
      </c>
      <c r="I98" s="145">
        <f t="shared" si="20"/>
        <v>0</v>
      </c>
      <c r="J98" s="141">
        <v>60</v>
      </c>
      <c r="K98" s="142">
        <f t="shared" si="16"/>
        <v>14917.589999999997</v>
      </c>
      <c r="L98" s="146"/>
      <c r="N98" s="176"/>
    </row>
    <row r="99" spans="1:14" ht="13.5" customHeight="1">
      <c r="A99" s="17" t="s">
        <v>212</v>
      </c>
      <c r="B99" s="144"/>
      <c r="C99" s="13">
        <v>100000</v>
      </c>
      <c r="D99" s="12">
        <v>150000</v>
      </c>
      <c r="E99" s="13"/>
      <c r="F99" s="14">
        <f t="shared" si="18"/>
        <v>250000</v>
      </c>
      <c r="G99" s="15">
        <v>2000</v>
      </c>
      <c r="H99" s="15">
        <v>10.45</v>
      </c>
      <c r="I99" s="145"/>
      <c r="J99" s="141">
        <v>20</v>
      </c>
      <c r="K99" s="142">
        <f t="shared" si="16"/>
        <v>-19989.55</v>
      </c>
      <c r="L99" s="146"/>
      <c r="N99" s="176"/>
    </row>
    <row r="100" spans="1:14" ht="13.5" customHeight="1">
      <c r="A100" s="17" t="s">
        <v>40</v>
      </c>
      <c r="B100" s="144"/>
      <c r="C100" s="13">
        <v>160000</v>
      </c>
      <c r="D100" s="12"/>
      <c r="E100" s="13"/>
      <c r="F100" s="14">
        <f t="shared" si="18"/>
        <v>160000</v>
      </c>
      <c r="G100" s="15">
        <v>150000</v>
      </c>
      <c r="H100" s="15">
        <f>77600.67+53053.8+28335.4+20000</f>
        <v>178989.87</v>
      </c>
      <c r="I100" s="145">
        <f t="shared" si="20"/>
        <v>0.06666666666666667</v>
      </c>
      <c r="J100" s="141">
        <v>120</v>
      </c>
      <c r="K100" s="142">
        <f t="shared" si="16"/>
        <v>58989.869999999995</v>
      </c>
      <c r="L100" s="146"/>
      <c r="N100" s="176"/>
    </row>
    <row r="101" spans="1:14" ht="13.5" customHeight="1">
      <c r="A101" s="17" t="s">
        <v>30</v>
      </c>
      <c r="B101" s="144">
        <v>14000</v>
      </c>
      <c r="C101" s="13">
        <v>16000</v>
      </c>
      <c r="D101" s="12"/>
      <c r="E101" s="13"/>
      <c r="F101" s="14">
        <f t="shared" si="18"/>
        <v>30000</v>
      </c>
      <c r="G101" s="15">
        <v>30000</v>
      </c>
      <c r="H101" s="15">
        <v>29844.88</v>
      </c>
      <c r="I101" s="145">
        <f t="shared" si="20"/>
        <v>0</v>
      </c>
      <c r="J101" s="141">
        <v>28</v>
      </c>
      <c r="K101" s="142">
        <f t="shared" si="16"/>
        <v>1844.880000000001</v>
      </c>
      <c r="L101" s="146"/>
      <c r="N101" s="176"/>
    </row>
    <row r="102" spans="1:14" ht="13.5" customHeight="1">
      <c r="A102" s="17" t="s">
        <v>42</v>
      </c>
      <c r="B102" s="144">
        <v>180000</v>
      </c>
      <c r="C102" s="13"/>
      <c r="D102" s="12"/>
      <c r="E102" s="13"/>
      <c r="F102" s="14">
        <f t="shared" si="18"/>
        <v>180000</v>
      </c>
      <c r="G102" s="15">
        <v>200000</v>
      </c>
      <c r="H102" s="15">
        <f>84905.97+203360.52+42084.29</f>
        <v>330350.77999999997</v>
      </c>
      <c r="I102" s="145">
        <f>(F102-G102)/G102</f>
        <v>-0.1</v>
      </c>
      <c r="J102" s="141">
        <v>180</v>
      </c>
      <c r="K102" s="142">
        <f t="shared" si="16"/>
        <v>150350.77999999997</v>
      </c>
      <c r="L102" s="146"/>
      <c r="N102" s="176"/>
    </row>
    <row r="103" spans="1:14" ht="13.5" customHeight="1">
      <c r="A103" s="17" t="s">
        <v>172</v>
      </c>
      <c r="B103" s="144">
        <v>680000</v>
      </c>
      <c r="C103" s="13">
        <v>20000</v>
      </c>
      <c r="D103" s="12">
        <v>295000</v>
      </c>
      <c r="E103" s="13">
        <v>25000</v>
      </c>
      <c r="F103" s="14">
        <f t="shared" si="18"/>
        <v>1020000</v>
      </c>
      <c r="G103" s="15">
        <v>790000</v>
      </c>
      <c r="H103" s="15">
        <f>36196.23+955.19+225371.96+14404.75+11889.1+212536.44+37510.08+107145.68+37091.73+120045.85+298.39+714.73+267.52+336.74+1867.63+55663</f>
        <v>862295.0199999999</v>
      </c>
      <c r="I103" s="145">
        <f>(F103-G103)/G103</f>
        <v>0.2911392405063291</v>
      </c>
      <c r="J103" s="142">
        <v>870</v>
      </c>
      <c r="K103" s="142">
        <f t="shared" si="16"/>
        <v>-7704.980000000098</v>
      </c>
      <c r="L103" s="146"/>
      <c r="N103" s="176"/>
    </row>
    <row r="104" spans="1:14" ht="13.5" customHeight="1">
      <c r="A104" s="17" t="s">
        <v>70</v>
      </c>
      <c r="B104" s="144">
        <v>7000</v>
      </c>
      <c r="C104" s="13">
        <v>70000</v>
      </c>
      <c r="D104" s="12"/>
      <c r="E104" s="13"/>
      <c r="F104" s="14">
        <f t="shared" si="18"/>
        <v>77000</v>
      </c>
      <c r="G104" s="15">
        <v>77000</v>
      </c>
      <c r="H104" s="15">
        <v>79321.29</v>
      </c>
      <c r="I104" s="145">
        <f aca="true" t="shared" si="21" ref="I104:I110">(F104-G104)/G104</f>
        <v>0</v>
      </c>
      <c r="J104" s="141">
        <v>60</v>
      </c>
      <c r="K104" s="142">
        <f t="shared" si="16"/>
        <v>19321.289999999994</v>
      </c>
      <c r="L104" s="146"/>
      <c r="N104" s="176"/>
    </row>
    <row r="105" spans="1:14" ht="13.5" customHeight="1">
      <c r="A105" s="17" t="s">
        <v>71</v>
      </c>
      <c r="B105" s="144">
        <v>30000</v>
      </c>
      <c r="C105" s="13">
        <v>20000</v>
      </c>
      <c r="D105" s="12">
        <v>21000</v>
      </c>
      <c r="E105" s="13">
        <v>23000</v>
      </c>
      <c r="F105" s="14">
        <f t="shared" si="18"/>
        <v>94000</v>
      </c>
      <c r="G105" s="15">
        <v>78000</v>
      </c>
      <c r="H105" s="15">
        <v>85193.29</v>
      </c>
      <c r="I105" s="145">
        <f t="shared" si="21"/>
        <v>0.20512820512820512</v>
      </c>
      <c r="J105" s="142">
        <v>102</v>
      </c>
      <c r="K105" s="142">
        <f t="shared" si="16"/>
        <v>-16806.710000000006</v>
      </c>
      <c r="L105" s="146"/>
      <c r="N105" s="176"/>
    </row>
    <row r="106" spans="1:14" ht="13.5" customHeight="1">
      <c r="A106" s="17" t="s">
        <v>175</v>
      </c>
      <c r="B106" s="144"/>
      <c r="C106" s="13"/>
      <c r="D106" s="12">
        <v>24000</v>
      </c>
      <c r="E106" s="13">
        <v>25000</v>
      </c>
      <c r="F106" s="14">
        <f t="shared" si="18"/>
        <v>49000</v>
      </c>
      <c r="G106" s="15">
        <v>60000</v>
      </c>
      <c r="H106" s="15">
        <v>37846.05</v>
      </c>
      <c r="I106" s="145">
        <f t="shared" si="21"/>
        <v>-0.18333333333333332</v>
      </c>
      <c r="J106" s="142">
        <v>28</v>
      </c>
      <c r="K106" s="142">
        <f t="shared" si="16"/>
        <v>9846.050000000003</v>
      </c>
      <c r="L106" s="146"/>
      <c r="N106" s="176"/>
    </row>
    <row r="107" spans="1:14" ht="13.5" customHeight="1">
      <c r="A107" s="19" t="s">
        <v>72</v>
      </c>
      <c r="B107" s="45">
        <v>21000</v>
      </c>
      <c r="C107" s="45">
        <v>21000</v>
      </c>
      <c r="D107" s="45">
        <v>23000</v>
      </c>
      <c r="E107" s="45">
        <v>21000</v>
      </c>
      <c r="F107" s="36">
        <f t="shared" si="18"/>
        <v>86000</v>
      </c>
      <c r="G107" s="15">
        <v>80000</v>
      </c>
      <c r="H107" s="163">
        <f>3832.53+22242.44+7906.18+8806.96+6147.41+18290.96+174.96+830.22-4180+5142.52+99+7321.66+32512.55-81.1-5045.26+0.54</f>
        <v>104001.56999999999</v>
      </c>
      <c r="I107" s="157">
        <f t="shared" si="21"/>
        <v>0.075</v>
      </c>
      <c r="J107" s="141">
        <v>50</v>
      </c>
      <c r="K107" s="142">
        <f t="shared" si="16"/>
        <v>54001.56999999999</v>
      </c>
      <c r="L107" s="146"/>
      <c r="N107" s="176"/>
    </row>
    <row r="108" spans="1:15" s="30" customFormat="1" ht="13.5" customHeight="1">
      <c r="A108" s="11" t="s">
        <v>73</v>
      </c>
      <c r="B108" s="155">
        <f aca="true" t="shared" si="22" ref="B108:H108">SUM(B75:B107)</f>
        <v>1063000</v>
      </c>
      <c r="C108" s="158">
        <f t="shared" si="22"/>
        <v>2034000</v>
      </c>
      <c r="D108" s="159">
        <f t="shared" si="22"/>
        <v>981000</v>
      </c>
      <c r="E108" s="158">
        <f t="shared" si="22"/>
        <v>408000</v>
      </c>
      <c r="F108" s="21">
        <f t="shared" si="22"/>
        <v>4486000</v>
      </c>
      <c r="G108" s="159">
        <f t="shared" si="22"/>
        <v>4037000</v>
      </c>
      <c r="H108" s="158">
        <f t="shared" si="22"/>
        <v>4941703.59</v>
      </c>
      <c r="I108" s="25">
        <f t="shared" si="21"/>
        <v>0.11122120386425563</v>
      </c>
      <c r="J108" s="37">
        <f>SUM(J75:J107)</f>
        <v>5346</v>
      </c>
      <c r="K108" s="142">
        <f t="shared" si="16"/>
        <v>-404296.41000000015</v>
      </c>
      <c r="L108" s="146"/>
      <c r="M108" s="37"/>
      <c r="N108" s="164"/>
      <c r="O108" s="164"/>
    </row>
    <row r="109" spans="1:9" ht="7.5" customHeight="1">
      <c r="A109" s="156"/>
      <c r="B109" s="137"/>
      <c r="C109" s="138"/>
      <c r="D109" s="139"/>
      <c r="E109" s="138"/>
      <c r="F109" s="22"/>
      <c r="G109" s="139"/>
      <c r="H109" s="138"/>
      <c r="I109" s="140"/>
    </row>
    <row r="110" spans="1:10" ht="13.5" customHeight="1">
      <c r="A110" s="17" t="s">
        <v>74</v>
      </c>
      <c r="B110" s="144">
        <v>0</v>
      </c>
      <c r="C110" s="13">
        <v>0</v>
      </c>
      <c r="D110" s="12">
        <v>0</v>
      </c>
      <c r="E110" s="13">
        <v>1000</v>
      </c>
      <c r="F110" s="14">
        <f t="shared" si="18"/>
        <v>1000</v>
      </c>
      <c r="G110" s="15">
        <v>1000</v>
      </c>
      <c r="H110" s="15">
        <v>1651.56</v>
      </c>
      <c r="I110" s="145">
        <f t="shared" si="21"/>
        <v>0</v>
      </c>
      <c r="J110" s="143">
        <f>J22-J38-J54-J63-J67-J71-J108</f>
        <v>-4791</v>
      </c>
    </row>
    <row r="111" spans="1:11" ht="13.5" customHeight="1">
      <c r="A111" s="19" t="s">
        <v>35</v>
      </c>
      <c r="B111" s="45">
        <v>0</v>
      </c>
      <c r="C111" s="46">
        <v>0</v>
      </c>
      <c r="D111" s="47">
        <v>0</v>
      </c>
      <c r="E111" s="46">
        <v>0</v>
      </c>
      <c r="F111" s="20">
        <f t="shared" si="18"/>
        <v>0</v>
      </c>
      <c r="G111" s="15">
        <v>0</v>
      </c>
      <c r="H111" s="163">
        <v>0</v>
      </c>
      <c r="I111" s="157"/>
      <c r="K111" s="142">
        <f>J110+4911</f>
        <v>120</v>
      </c>
    </row>
    <row r="112" spans="1:12" s="30" customFormat="1" ht="13.5" customHeight="1">
      <c r="A112" s="11" t="s">
        <v>75</v>
      </c>
      <c r="B112" s="155">
        <f>B111-B110</f>
        <v>0</v>
      </c>
      <c r="C112" s="158">
        <f aca="true" t="shared" si="23" ref="C112:H112">C111-C110</f>
        <v>0</v>
      </c>
      <c r="D112" s="159">
        <f t="shared" si="23"/>
        <v>0</v>
      </c>
      <c r="E112" s="158">
        <f t="shared" si="23"/>
        <v>-1000</v>
      </c>
      <c r="F112" s="21">
        <f t="shared" si="23"/>
        <v>-1000</v>
      </c>
      <c r="G112" s="159">
        <f t="shared" si="23"/>
        <v>-1000</v>
      </c>
      <c r="H112" s="158">
        <f t="shared" si="23"/>
        <v>-1651.56</v>
      </c>
      <c r="I112" s="25">
        <f>(F112-G112)/G112</f>
        <v>0</v>
      </c>
      <c r="K112" s="24"/>
      <c r="L112" s="37"/>
    </row>
    <row r="113" spans="1:9" ht="7.5" customHeight="1">
      <c r="A113" s="148"/>
      <c r="B113" s="149"/>
      <c r="C113" s="150"/>
      <c r="D113" s="151"/>
      <c r="E113" s="150"/>
      <c r="F113" s="23"/>
      <c r="G113" s="151"/>
      <c r="H113" s="150"/>
      <c r="I113" s="160"/>
    </row>
    <row r="114" spans="1:12" s="30" customFormat="1" ht="13.5" customHeight="1">
      <c r="A114" s="11" t="s">
        <v>199</v>
      </c>
      <c r="B114" s="155">
        <f aca="true" t="shared" si="24" ref="B114:H114">B22-B38-B54-B63-B68-B72-B108-B112</f>
        <v>-204000</v>
      </c>
      <c r="C114" s="158">
        <f t="shared" si="24"/>
        <v>-3772000</v>
      </c>
      <c r="D114" s="159">
        <f t="shared" si="24"/>
        <v>-717000</v>
      </c>
      <c r="E114" s="158">
        <f t="shared" si="24"/>
        <v>-929000</v>
      </c>
      <c r="F114" s="21">
        <f t="shared" si="24"/>
        <v>-5622000</v>
      </c>
      <c r="G114" s="159">
        <f t="shared" si="24"/>
        <v>-5372000</v>
      </c>
      <c r="H114" s="158">
        <f t="shared" si="24"/>
        <v>-5000291.61</v>
      </c>
      <c r="I114" s="25">
        <f>(F114-G114)/G114</f>
        <v>0.046537602382725245</v>
      </c>
      <c r="K114" s="24"/>
      <c r="L114" s="37"/>
    </row>
    <row r="115" spans="1:9" ht="7.5" customHeight="1">
      <c r="A115" s="177"/>
      <c r="B115" s="167"/>
      <c r="C115" s="27"/>
      <c r="D115" s="168"/>
      <c r="E115" s="27"/>
      <c r="F115" s="28"/>
      <c r="G115" s="168"/>
      <c r="H115" s="27"/>
      <c r="I115" s="169"/>
    </row>
    <row r="116" spans="1:12" s="30" customFormat="1" ht="13.5" customHeight="1">
      <c r="A116" s="18" t="s">
        <v>76</v>
      </c>
      <c r="B116" s="170"/>
      <c r="C116" s="29"/>
      <c r="D116" s="171"/>
      <c r="E116" s="29"/>
      <c r="F116" s="14"/>
      <c r="G116" s="171"/>
      <c r="H116" s="29"/>
      <c r="I116" s="172"/>
      <c r="K116" s="24"/>
      <c r="L116" s="37"/>
    </row>
    <row r="117" spans="1:13" ht="13.5" customHeight="1">
      <c r="A117" s="17" t="s">
        <v>77</v>
      </c>
      <c r="B117" s="144">
        <v>0</v>
      </c>
      <c r="C117" s="13">
        <v>0</v>
      </c>
      <c r="D117" s="12">
        <v>0</v>
      </c>
      <c r="E117" s="13">
        <v>20000</v>
      </c>
      <c r="F117" s="14">
        <f>SUM(B117:E117)</f>
        <v>20000</v>
      </c>
      <c r="G117" s="15">
        <v>20000</v>
      </c>
      <c r="H117" s="15">
        <v>10165</v>
      </c>
      <c r="I117" s="145">
        <f>(F117-G117)/G117</f>
        <v>0</v>
      </c>
      <c r="M117" s="30"/>
    </row>
    <row r="118" spans="1:12" s="30" customFormat="1" ht="13.5" customHeight="1">
      <c r="A118" s="11" t="s">
        <v>161</v>
      </c>
      <c r="B118" s="155">
        <f aca="true" t="shared" si="25" ref="B118:H118">SUM(B117:B117)</f>
        <v>0</v>
      </c>
      <c r="C118" s="158">
        <f t="shared" si="25"/>
        <v>0</v>
      </c>
      <c r="D118" s="159">
        <f t="shared" si="25"/>
        <v>0</v>
      </c>
      <c r="E118" s="158">
        <f t="shared" si="25"/>
        <v>20000</v>
      </c>
      <c r="F118" s="21">
        <f t="shared" si="25"/>
        <v>20000</v>
      </c>
      <c r="G118" s="159">
        <f t="shared" si="25"/>
        <v>20000</v>
      </c>
      <c r="H118" s="158">
        <f t="shared" si="25"/>
        <v>10165</v>
      </c>
      <c r="I118" s="25">
        <f>(F118-G118)/G118</f>
        <v>0</v>
      </c>
      <c r="K118" s="24"/>
      <c r="L118" s="37"/>
    </row>
    <row r="119" spans="1:9" ht="7.5" customHeight="1">
      <c r="A119" s="148"/>
      <c r="B119" s="149"/>
      <c r="C119" s="150"/>
      <c r="D119" s="151"/>
      <c r="E119" s="150"/>
      <c r="F119" s="23"/>
      <c r="G119" s="151"/>
      <c r="H119" s="150"/>
      <c r="I119" s="160"/>
    </row>
    <row r="120" spans="1:14" s="30" customFormat="1" ht="13.5" customHeight="1">
      <c r="A120" s="11" t="s">
        <v>197</v>
      </c>
      <c r="B120" s="155">
        <f aca="true" t="shared" si="26" ref="B120:H120">B114-B118</f>
        <v>-204000</v>
      </c>
      <c r="C120" s="158">
        <f t="shared" si="26"/>
        <v>-3772000</v>
      </c>
      <c r="D120" s="159">
        <f t="shared" si="26"/>
        <v>-717000</v>
      </c>
      <c r="E120" s="158">
        <f t="shared" si="26"/>
        <v>-949000</v>
      </c>
      <c r="F120" s="21">
        <f t="shared" si="26"/>
        <v>-5642000</v>
      </c>
      <c r="G120" s="159">
        <f t="shared" si="26"/>
        <v>-5392000</v>
      </c>
      <c r="H120" s="158">
        <f t="shared" si="26"/>
        <v>-5010456.61</v>
      </c>
      <c r="I120" s="178">
        <f aca="true" t="shared" si="27" ref="I120:I127">(F120-G120)/G120</f>
        <v>0.046364985163204746</v>
      </c>
      <c r="K120" s="24"/>
      <c r="L120" s="37"/>
      <c r="N120" s="24"/>
    </row>
    <row r="121" spans="1:9" ht="13.5" customHeight="1">
      <c r="A121" s="156" t="s">
        <v>173</v>
      </c>
      <c r="B121" s="137">
        <f aca="true" t="shared" si="28" ref="B121:H121">B68</f>
        <v>170000</v>
      </c>
      <c r="C121" s="138">
        <f t="shared" si="28"/>
        <v>15000</v>
      </c>
      <c r="D121" s="139">
        <f t="shared" si="28"/>
        <v>22000</v>
      </c>
      <c r="E121" s="138">
        <f t="shared" si="28"/>
        <v>35000</v>
      </c>
      <c r="F121" s="22">
        <f t="shared" si="28"/>
        <v>242000</v>
      </c>
      <c r="G121" s="139">
        <f t="shared" si="28"/>
        <v>242000</v>
      </c>
      <c r="H121" s="138">
        <f t="shared" si="28"/>
        <v>270970.36</v>
      </c>
      <c r="I121" s="179">
        <f t="shared" si="27"/>
        <v>0</v>
      </c>
    </row>
    <row r="122" spans="1:9" ht="13.5" customHeight="1">
      <c r="A122" s="17" t="s">
        <v>41</v>
      </c>
      <c r="B122" s="144">
        <f>B120+B121</f>
        <v>-34000</v>
      </c>
      <c r="C122" s="13">
        <f aca="true" t="shared" si="29" ref="C122:H122">C120+C121</f>
        <v>-3757000</v>
      </c>
      <c r="D122" s="12">
        <f t="shared" si="29"/>
        <v>-695000</v>
      </c>
      <c r="E122" s="13">
        <f t="shared" si="29"/>
        <v>-914000</v>
      </c>
      <c r="F122" s="14">
        <f t="shared" si="29"/>
        <v>-5400000</v>
      </c>
      <c r="G122" s="12">
        <f t="shared" si="29"/>
        <v>-5150000</v>
      </c>
      <c r="H122" s="13">
        <f t="shared" si="29"/>
        <v>-4739486.25</v>
      </c>
      <c r="I122" s="145">
        <f t="shared" si="27"/>
        <v>0.04854368932038835</v>
      </c>
    </row>
    <row r="123" spans="1:9" ht="13.5" customHeight="1">
      <c r="A123" s="16" t="s">
        <v>180</v>
      </c>
      <c r="B123" s="13">
        <v>0</v>
      </c>
      <c r="C123" s="13"/>
      <c r="D123" s="13">
        <v>300000</v>
      </c>
      <c r="E123" s="13">
        <v>0</v>
      </c>
      <c r="F123" s="29">
        <f>SUM(B123:E123)</f>
        <v>300000</v>
      </c>
      <c r="G123" s="13">
        <v>300000</v>
      </c>
      <c r="H123" s="15">
        <v>-430973.26</v>
      </c>
      <c r="I123" s="145">
        <f t="shared" si="27"/>
        <v>0</v>
      </c>
    </row>
    <row r="124" spans="1:12" s="30" customFormat="1" ht="13.5" customHeight="1">
      <c r="A124" s="19" t="s">
        <v>189</v>
      </c>
      <c r="B124" s="45">
        <v>0</v>
      </c>
      <c r="C124" s="46"/>
      <c r="D124" s="47">
        <v>0</v>
      </c>
      <c r="E124" s="46">
        <v>0</v>
      </c>
      <c r="F124" s="29">
        <f>SUM(B124:E124)</f>
        <v>0</v>
      </c>
      <c r="G124" s="15">
        <v>-150000</v>
      </c>
      <c r="H124" s="39">
        <v>0</v>
      </c>
      <c r="I124" s="40"/>
      <c r="K124" s="24"/>
      <c r="L124" s="37"/>
    </row>
    <row r="125" spans="1:9" ht="12">
      <c r="A125" s="38" t="s">
        <v>187</v>
      </c>
      <c r="B125" s="45">
        <v>-100000</v>
      </c>
      <c r="C125" s="46">
        <v>0</v>
      </c>
      <c r="D125" s="47">
        <v>0</v>
      </c>
      <c r="E125" s="46">
        <v>0</v>
      </c>
      <c r="F125" s="29">
        <f>SUM(B125:E125)</f>
        <v>-100000</v>
      </c>
      <c r="G125" s="15">
        <v>-100000</v>
      </c>
      <c r="H125" s="39">
        <v>-85950.81</v>
      </c>
      <c r="I125" s="145">
        <f t="shared" si="27"/>
        <v>0</v>
      </c>
    </row>
    <row r="126" spans="1:9" ht="13.5" customHeight="1">
      <c r="A126" s="19" t="s">
        <v>188</v>
      </c>
      <c r="B126" s="45">
        <v>-200000</v>
      </c>
      <c r="C126" s="46">
        <v>0</v>
      </c>
      <c r="D126" s="47">
        <v>0</v>
      </c>
      <c r="E126" s="46">
        <v>0</v>
      </c>
      <c r="F126" s="20">
        <f>SUM(B126:E126)</f>
        <v>-200000</v>
      </c>
      <c r="G126" s="15">
        <v>-200000</v>
      </c>
      <c r="H126" s="39">
        <f>-285950.81-H125</f>
        <v>-200000</v>
      </c>
      <c r="I126" s="157">
        <f t="shared" si="27"/>
        <v>0</v>
      </c>
    </row>
    <row r="127" spans="1:14" s="30" customFormat="1" ht="14.25" customHeight="1">
      <c r="A127" s="11" t="s">
        <v>176</v>
      </c>
      <c r="B127" s="155">
        <f aca="true" t="shared" si="30" ref="B127:H127">SUM(B122:B126)</f>
        <v>-334000</v>
      </c>
      <c r="C127" s="158">
        <f t="shared" si="30"/>
        <v>-3757000</v>
      </c>
      <c r="D127" s="159">
        <f t="shared" si="30"/>
        <v>-395000</v>
      </c>
      <c r="E127" s="158">
        <f t="shared" si="30"/>
        <v>-914000</v>
      </c>
      <c r="F127" s="21">
        <f t="shared" si="30"/>
        <v>-5400000</v>
      </c>
      <c r="G127" s="159">
        <f t="shared" si="30"/>
        <v>-5300000</v>
      </c>
      <c r="H127" s="158">
        <f t="shared" si="30"/>
        <v>-5456410.319999999</v>
      </c>
      <c r="I127" s="25">
        <f t="shared" si="27"/>
        <v>0.018867924528301886</v>
      </c>
      <c r="K127" s="24"/>
      <c r="L127" s="37"/>
      <c r="N127" s="24"/>
    </row>
    <row r="128" spans="2:9" ht="7.5" customHeight="1">
      <c r="B128" s="142"/>
      <c r="C128" s="142"/>
      <c r="D128" s="142"/>
      <c r="E128" s="142"/>
      <c r="F128" s="24"/>
      <c r="G128" s="142"/>
      <c r="H128" s="142"/>
      <c r="I128" s="180"/>
    </row>
    <row r="129" spans="2:16" ht="13.5" customHeight="1">
      <c r="B129" s="142"/>
      <c r="C129" s="142"/>
      <c r="D129" s="142"/>
      <c r="E129" s="142"/>
      <c r="F129" s="24"/>
      <c r="G129" s="142"/>
      <c r="H129" s="142"/>
      <c r="M129" s="142"/>
      <c r="N129" s="142"/>
      <c r="O129" s="142"/>
      <c r="P129" s="142"/>
    </row>
    <row r="130" spans="2:8" ht="13.5" customHeight="1">
      <c r="B130" s="142"/>
      <c r="C130" s="142"/>
      <c r="D130" s="142"/>
      <c r="E130" s="142"/>
      <c r="F130" s="24"/>
      <c r="G130" s="142"/>
      <c r="H130" s="142"/>
    </row>
    <row r="131" spans="2:8" ht="13.5" customHeight="1">
      <c r="B131" s="142"/>
      <c r="C131" s="142"/>
      <c r="D131" s="142"/>
      <c r="E131" s="142"/>
      <c r="F131" s="24"/>
      <c r="G131" s="142"/>
      <c r="H131" s="142"/>
    </row>
    <row r="132" spans="2:8" ht="13.5" customHeight="1">
      <c r="B132" s="142"/>
      <c r="C132" s="142"/>
      <c r="D132" s="142"/>
      <c r="E132" s="142"/>
      <c r="F132" s="142"/>
      <c r="G132" s="142"/>
      <c r="H132" s="142"/>
    </row>
    <row r="133" spans="2:8" ht="13.5" customHeight="1">
      <c r="B133" s="142"/>
      <c r="C133" s="142"/>
      <c r="D133" s="142"/>
      <c r="E133" s="142"/>
      <c r="F133" s="142"/>
      <c r="G133" s="142"/>
      <c r="H133" s="142"/>
    </row>
    <row r="134" spans="2:8" ht="13.5" customHeight="1">
      <c r="B134" s="142"/>
      <c r="C134" s="142"/>
      <c r="D134" s="142"/>
      <c r="E134" s="142"/>
      <c r="F134" s="24"/>
      <c r="G134" s="142"/>
      <c r="H134" s="142"/>
    </row>
    <row r="135" spans="2:8" ht="13.5" customHeight="1">
      <c r="B135" s="142"/>
      <c r="C135" s="142"/>
      <c r="D135" s="142"/>
      <c r="E135" s="142"/>
      <c r="F135" s="142"/>
      <c r="G135" s="142"/>
      <c r="H135" s="142"/>
    </row>
    <row r="136" spans="2:8" ht="13.5" customHeight="1">
      <c r="B136" s="142"/>
      <c r="C136" s="142"/>
      <c r="D136" s="142"/>
      <c r="E136" s="142"/>
      <c r="F136" s="142"/>
      <c r="G136" s="142"/>
      <c r="H136" s="142"/>
    </row>
    <row r="137" spans="2:8" ht="13.5" customHeight="1">
      <c r="B137" s="142"/>
      <c r="C137" s="142"/>
      <c r="D137" s="142"/>
      <c r="E137" s="142"/>
      <c r="F137" s="24"/>
      <c r="G137" s="142"/>
      <c r="H137" s="142"/>
    </row>
    <row r="138" spans="2:8" ht="13.5" customHeight="1">
      <c r="B138" s="142"/>
      <c r="C138" s="142"/>
      <c r="D138" s="142"/>
      <c r="E138" s="142"/>
      <c r="F138" s="24"/>
      <c r="G138" s="142"/>
      <c r="H138" s="142"/>
    </row>
    <row r="139" spans="2:8" ht="13.5" customHeight="1">
      <c r="B139" s="142"/>
      <c r="C139" s="142"/>
      <c r="D139" s="142"/>
      <c r="E139" s="142"/>
      <c r="F139" s="142"/>
      <c r="G139" s="142"/>
      <c r="H139" s="142"/>
    </row>
    <row r="140" spans="2:8" ht="13.5" customHeight="1">
      <c r="B140" s="142"/>
      <c r="C140" s="142"/>
      <c r="D140" s="142"/>
      <c r="E140" s="142"/>
      <c r="F140" s="24"/>
      <c r="G140" s="142"/>
      <c r="H140" s="142"/>
    </row>
    <row r="141" spans="2:8" ht="13.5" customHeight="1">
      <c r="B141" s="142"/>
      <c r="C141" s="142"/>
      <c r="D141" s="142"/>
      <c r="E141" s="142"/>
      <c r="F141" s="24"/>
      <c r="G141" s="142"/>
      <c r="H141" s="142"/>
    </row>
    <row r="142" spans="2:8" ht="13.5" customHeight="1">
      <c r="B142" s="142"/>
      <c r="C142" s="142"/>
      <c r="D142" s="142"/>
      <c r="E142" s="142"/>
      <c r="F142" s="24"/>
      <c r="G142" s="142"/>
      <c r="H142" s="142"/>
    </row>
    <row r="143" spans="2:8" ht="13.5" customHeight="1">
      <c r="B143" s="142"/>
      <c r="C143" s="142"/>
      <c r="D143" s="142"/>
      <c r="E143" s="142"/>
      <c r="F143" s="24"/>
      <c r="G143" s="142"/>
      <c r="H143" s="142"/>
    </row>
    <row r="144" spans="2:8" ht="13.5" customHeight="1">
      <c r="B144" s="142"/>
      <c r="C144" s="142"/>
      <c r="D144" s="142"/>
      <c r="E144" s="142"/>
      <c r="F144" s="24"/>
      <c r="G144" s="142"/>
      <c r="H144" s="142"/>
    </row>
    <row r="145" spans="2:8" ht="13.5" customHeight="1">
      <c r="B145" s="142"/>
      <c r="C145" s="142"/>
      <c r="D145" s="142"/>
      <c r="E145" s="142"/>
      <c r="F145" s="24"/>
      <c r="G145" s="142"/>
      <c r="H145" s="142"/>
    </row>
    <row r="146" spans="2:8" ht="13.5" customHeight="1">
      <c r="B146" s="142"/>
      <c r="C146" s="142"/>
      <c r="D146" s="142"/>
      <c r="E146" s="142"/>
      <c r="F146" s="24"/>
      <c r="G146" s="142"/>
      <c r="H146" s="142"/>
    </row>
    <row r="147" spans="2:8" ht="13.5" customHeight="1">
      <c r="B147" s="142"/>
      <c r="C147" s="142"/>
      <c r="D147" s="142"/>
      <c r="E147" s="142"/>
      <c r="F147" s="24"/>
      <c r="G147" s="142"/>
      <c r="H147" s="142"/>
    </row>
    <row r="148" spans="2:8" ht="13.5" customHeight="1">
      <c r="B148" s="142"/>
      <c r="C148" s="142"/>
      <c r="D148" s="142"/>
      <c r="E148" s="142"/>
      <c r="F148" s="24"/>
      <c r="G148" s="142"/>
      <c r="H148" s="142"/>
    </row>
    <row r="149" spans="2:8" ht="13.5" customHeight="1">
      <c r="B149" s="142"/>
      <c r="C149" s="142"/>
      <c r="D149" s="142"/>
      <c r="E149" s="142"/>
      <c r="F149" s="24"/>
      <c r="G149" s="142"/>
      <c r="H149" s="142"/>
    </row>
    <row r="150" spans="2:8" ht="13.5" customHeight="1">
      <c r="B150" s="142"/>
      <c r="C150" s="142"/>
      <c r="D150" s="142"/>
      <c r="E150" s="142"/>
      <c r="F150" s="24"/>
      <c r="G150" s="142"/>
      <c r="H150" s="142"/>
    </row>
    <row r="151" spans="2:8" ht="13.5" customHeight="1">
      <c r="B151" s="142"/>
      <c r="C151" s="142"/>
      <c r="D151" s="142"/>
      <c r="E151" s="142"/>
      <c r="F151" s="24"/>
      <c r="G151" s="142"/>
      <c r="H151" s="142"/>
    </row>
    <row r="152" spans="2:8" ht="13.5" customHeight="1">
      <c r="B152" s="142"/>
      <c r="C152" s="142"/>
      <c r="D152" s="142"/>
      <c r="E152" s="142"/>
      <c r="F152" s="24"/>
      <c r="G152" s="142"/>
      <c r="H152" s="142"/>
    </row>
    <row r="153" spans="2:8" ht="13.5" customHeight="1">
      <c r="B153" s="142"/>
      <c r="C153" s="142"/>
      <c r="D153" s="142"/>
      <c r="E153" s="142"/>
      <c r="F153" s="24"/>
      <c r="G153" s="142"/>
      <c r="H153" s="142"/>
    </row>
    <row r="154" spans="2:8" ht="13.5" customHeight="1">
      <c r="B154" s="142"/>
      <c r="C154" s="142"/>
      <c r="D154" s="142"/>
      <c r="E154" s="142"/>
      <c r="F154" s="24"/>
      <c r="G154" s="142"/>
      <c r="H154" s="142"/>
    </row>
    <row r="155" spans="2:8" ht="13.5" customHeight="1">
      <c r="B155" s="142"/>
      <c r="C155" s="142"/>
      <c r="D155" s="142"/>
      <c r="E155" s="142"/>
      <c r="F155" s="24"/>
      <c r="G155" s="142"/>
      <c r="H155" s="142"/>
    </row>
    <row r="156" spans="2:8" ht="13.5" customHeight="1">
      <c r="B156" s="142"/>
      <c r="C156" s="142"/>
      <c r="D156" s="142"/>
      <c r="E156" s="142"/>
      <c r="F156" s="24"/>
      <c r="G156" s="142"/>
      <c r="H156" s="142"/>
    </row>
    <row r="157" spans="2:8" ht="13.5" customHeight="1">
      <c r="B157" s="142"/>
      <c r="C157" s="142"/>
      <c r="D157" s="142"/>
      <c r="E157" s="142"/>
      <c r="F157" s="24"/>
      <c r="G157" s="142"/>
      <c r="H157" s="142"/>
    </row>
    <row r="158" spans="2:8" ht="13.5" customHeight="1">
      <c r="B158" s="142"/>
      <c r="C158" s="142"/>
      <c r="D158" s="142"/>
      <c r="E158" s="142"/>
      <c r="F158" s="24"/>
      <c r="G158" s="142"/>
      <c r="H158" s="142"/>
    </row>
    <row r="159" spans="2:8" ht="13.5" customHeight="1">
      <c r="B159" s="142"/>
      <c r="C159" s="142"/>
      <c r="D159" s="142"/>
      <c r="E159" s="142"/>
      <c r="F159" s="24"/>
      <c r="G159" s="142"/>
      <c r="H159" s="142"/>
    </row>
    <row r="160" spans="2:8" ht="13.5" customHeight="1">
      <c r="B160" s="142"/>
      <c r="C160" s="142"/>
      <c r="D160" s="142"/>
      <c r="E160" s="142"/>
      <c r="F160" s="24"/>
      <c r="G160" s="142"/>
      <c r="H160" s="142"/>
    </row>
    <row r="161" spans="2:8" ht="13.5" customHeight="1">
      <c r="B161" s="142"/>
      <c r="C161" s="142"/>
      <c r="D161" s="142"/>
      <c r="E161" s="142"/>
      <c r="F161" s="24"/>
      <c r="G161" s="142"/>
      <c r="H161" s="142"/>
    </row>
    <row r="162" spans="2:8" ht="13.5" customHeight="1">
      <c r="B162" s="142"/>
      <c r="C162" s="142"/>
      <c r="D162" s="142"/>
      <c r="E162" s="142"/>
      <c r="F162" s="24"/>
      <c r="G162" s="142"/>
      <c r="H162" s="142"/>
    </row>
    <row r="163" spans="2:8" ht="13.5" customHeight="1">
      <c r="B163" s="142"/>
      <c r="C163" s="142"/>
      <c r="D163" s="142"/>
      <c r="E163" s="142"/>
      <c r="F163" s="24"/>
      <c r="G163" s="142"/>
      <c r="H163" s="142"/>
    </row>
    <row r="164" spans="2:8" ht="13.5" customHeight="1">
      <c r="B164" s="142"/>
      <c r="C164" s="142"/>
      <c r="D164" s="142"/>
      <c r="E164" s="142"/>
      <c r="F164" s="24"/>
      <c r="G164" s="142"/>
      <c r="H164" s="142"/>
    </row>
    <row r="165" spans="2:8" ht="13.5" customHeight="1">
      <c r="B165" s="142"/>
      <c r="C165" s="142"/>
      <c r="D165" s="142"/>
      <c r="E165" s="142"/>
      <c r="F165" s="24"/>
      <c r="G165" s="142"/>
      <c r="H165" s="142"/>
    </row>
    <row r="166" spans="2:8" ht="13.5" customHeight="1">
      <c r="B166" s="142"/>
      <c r="C166" s="142"/>
      <c r="D166" s="142"/>
      <c r="E166" s="142"/>
      <c r="F166" s="24"/>
      <c r="G166" s="142"/>
      <c r="H166" s="142"/>
    </row>
    <row r="167" spans="2:8" ht="13.5" customHeight="1">
      <c r="B167" s="142"/>
      <c r="C167" s="142"/>
      <c r="D167" s="142"/>
      <c r="E167" s="142"/>
      <c r="F167" s="24"/>
      <c r="G167" s="142"/>
      <c r="H167" s="142"/>
    </row>
    <row r="168" spans="2:8" ht="13.5" customHeight="1">
      <c r="B168" s="142"/>
      <c r="C168" s="142"/>
      <c r="D168" s="142"/>
      <c r="E168" s="142"/>
      <c r="F168" s="24"/>
      <c r="G168" s="142"/>
      <c r="H168" s="142"/>
    </row>
    <row r="169" spans="2:8" ht="13.5" customHeight="1">
      <c r="B169" s="142"/>
      <c r="C169" s="142"/>
      <c r="D169" s="142"/>
      <c r="E169" s="142"/>
      <c r="F169" s="24"/>
      <c r="G169" s="142"/>
      <c r="H169" s="142"/>
    </row>
    <row r="170" spans="2:8" ht="13.5" customHeight="1">
      <c r="B170" s="142"/>
      <c r="C170" s="142"/>
      <c r="D170" s="142"/>
      <c r="E170" s="142"/>
      <c r="F170" s="24"/>
      <c r="G170" s="142"/>
      <c r="H170" s="142"/>
    </row>
    <row r="171" spans="2:8" ht="13.5" customHeight="1">
      <c r="B171" s="142"/>
      <c r="C171" s="142"/>
      <c r="D171" s="142"/>
      <c r="E171" s="142"/>
      <c r="F171" s="24"/>
      <c r="G171" s="142"/>
      <c r="H171" s="142"/>
    </row>
    <row r="172" spans="2:8" ht="13.5" customHeight="1">
      <c r="B172" s="142"/>
      <c r="C172" s="142"/>
      <c r="D172" s="142"/>
      <c r="E172" s="142"/>
      <c r="F172" s="24"/>
      <c r="G172" s="142"/>
      <c r="H172" s="142"/>
    </row>
    <row r="173" spans="2:8" ht="13.5" customHeight="1">
      <c r="B173" s="142"/>
      <c r="C173" s="142"/>
      <c r="D173" s="142"/>
      <c r="E173" s="142"/>
      <c r="F173" s="24"/>
      <c r="G173" s="142"/>
      <c r="H173" s="142"/>
    </row>
    <row r="174" spans="2:8" ht="13.5" customHeight="1">
      <c r="B174" s="142"/>
      <c r="C174" s="142"/>
      <c r="D174" s="142"/>
      <c r="E174" s="142"/>
      <c r="F174" s="24"/>
      <c r="G174" s="142"/>
      <c r="H174" s="142"/>
    </row>
    <row r="175" spans="2:8" ht="13.5" customHeight="1">
      <c r="B175" s="142"/>
      <c r="C175" s="142"/>
      <c r="D175" s="142"/>
      <c r="E175" s="142"/>
      <c r="F175" s="24"/>
      <c r="G175" s="142"/>
      <c r="H175" s="142"/>
    </row>
    <row r="176" spans="2:8" ht="13.5" customHeight="1">
      <c r="B176" s="142"/>
      <c r="C176" s="142"/>
      <c r="D176" s="142"/>
      <c r="E176" s="142"/>
      <c r="F176" s="24"/>
      <c r="G176" s="142"/>
      <c r="H176" s="142"/>
    </row>
    <row r="177" spans="2:8" ht="13.5" customHeight="1">
      <c r="B177" s="142"/>
      <c r="C177" s="142"/>
      <c r="D177" s="142"/>
      <c r="E177" s="142"/>
      <c r="F177" s="24"/>
      <c r="G177" s="142"/>
      <c r="H177" s="142"/>
    </row>
    <row r="178" spans="2:8" ht="13.5" customHeight="1">
      <c r="B178" s="142"/>
      <c r="C178" s="142"/>
      <c r="D178" s="142"/>
      <c r="E178" s="142"/>
      <c r="F178" s="24"/>
      <c r="G178" s="142"/>
      <c r="H178" s="142"/>
    </row>
    <row r="179" spans="2:8" ht="13.5" customHeight="1">
      <c r="B179" s="142"/>
      <c r="C179" s="142"/>
      <c r="D179" s="142"/>
      <c r="E179" s="142"/>
      <c r="F179" s="24"/>
      <c r="G179" s="142"/>
      <c r="H179" s="142"/>
    </row>
    <row r="180" spans="2:8" ht="13.5" customHeight="1">
      <c r="B180" s="142"/>
      <c r="C180" s="142"/>
      <c r="D180" s="142"/>
      <c r="E180" s="142"/>
      <c r="F180" s="24"/>
      <c r="G180" s="142"/>
      <c r="H180" s="142"/>
    </row>
    <row r="181" spans="2:8" ht="13.5" customHeight="1">
      <c r="B181" s="142"/>
      <c r="C181" s="142"/>
      <c r="D181" s="142"/>
      <c r="E181" s="142"/>
      <c r="F181" s="24"/>
      <c r="G181" s="142"/>
      <c r="H181" s="142"/>
    </row>
    <row r="182" spans="2:8" ht="13.5" customHeight="1">
      <c r="B182" s="142"/>
      <c r="C182" s="142"/>
      <c r="D182" s="142"/>
      <c r="E182" s="142"/>
      <c r="F182" s="24"/>
      <c r="G182" s="142"/>
      <c r="H182" s="142"/>
    </row>
    <row r="183" spans="2:8" ht="13.5" customHeight="1">
      <c r="B183" s="142"/>
      <c r="C183" s="142"/>
      <c r="D183" s="142"/>
      <c r="E183" s="142"/>
      <c r="F183" s="24"/>
      <c r="G183" s="142"/>
      <c r="H183" s="142"/>
    </row>
    <row r="184" spans="2:8" ht="13.5" customHeight="1">
      <c r="B184" s="142"/>
      <c r="C184" s="142"/>
      <c r="D184" s="142"/>
      <c r="E184" s="142"/>
      <c r="F184" s="24"/>
      <c r="G184" s="142"/>
      <c r="H184" s="142"/>
    </row>
    <row r="185" spans="2:8" ht="13.5" customHeight="1">
      <c r="B185" s="142"/>
      <c r="C185" s="142"/>
      <c r="D185" s="142"/>
      <c r="E185" s="142"/>
      <c r="F185" s="24"/>
      <c r="G185" s="142"/>
      <c r="H185" s="142"/>
    </row>
    <row r="186" spans="2:8" ht="13.5" customHeight="1">
      <c r="B186" s="142"/>
      <c r="C186" s="142"/>
      <c r="D186" s="142"/>
      <c r="E186" s="142"/>
      <c r="F186" s="24"/>
      <c r="G186" s="142"/>
      <c r="H186" s="142"/>
    </row>
    <row r="187" spans="2:8" ht="13.5" customHeight="1">
      <c r="B187" s="142"/>
      <c r="C187" s="142"/>
      <c r="D187" s="142"/>
      <c r="E187" s="142"/>
      <c r="F187" s="24"/>
      <c r="G187" s="142"/>
      <c r="H187" s="142"/>
    </row>
    <row r="188" spans="2:8" ht="13.5" customHeight="1">
      <c r="B188" s="142"/>
      <c r="C188" s="142"/>
      <c r="D188" s="142"/>
      <c r="E188" s="142"/>
      <c r="F188" s="24"/>
      <c r="G188" s="142"/>
      <c r="H188" s="142"/>
    </row>
    <row r="189" spans="2:8" ht="13.5" customHeight="1">
      <c r="B189" s="142"/>
      <c r="C189" s="142"/>
      <c r="D189" s="142"/>
      <c r="E189" s="142"/>
      <c r="F189" s="24"/>
      <c r="G189" s="142"/>
      <c r="H189" s="142"/>
    </row>
    <row r="190" spans="2:8" ht="13.5" customHeight="1">
      <c r="B190" s="142"/>
      <c r="C190" s="142"/>
      <c r="D190" s="142"/>
      <c r="E190" s="142"/>
      <c r="F190" s="24"/>
      <c r="G190" s="142"/>
      <c r="H190" s="142"/>
    </row>
    <row r="191" spans="2:8" ht="13.5" customHeight="1">
      <c r="B191" s="142"/>
      <c r="C191" s="142"/>
      <c r="D191" s="142"/>
      <c r="E191" s="142"/>
      <c r="F191" s="24"/>
      <c r="G191" s="142"/>
      <c r="H191" s="142"/>
    </row>
    <row r="192" spans="2:8" ht="13.5" customHeight="1">
      <c r="B192" s="142"/>
      <c r="C192" s="142"/>
      <c r="D192" s="142"/>
      <c r="E192" s="142"/>
      <c r="F192" s="24"/>
      <c r="G192" s="142"/>
      <c r="H192" s="142"/>
    </row>
    <row r="193" spans="2:8" ht="13.5" customHeight="1">
      <c r="B193" s="142"/>
      <c r="C193" s="142"/>
      <c r="D193" s="142"/>
      <c r="E193" s="142"/>
      <c r="F193" s="24"/>
      <c r="G193" s="142"/>
      <c r="H193" s="142"/>
    </row>
    <row r="194" spans="2:8" ht="13.5" customHeight="1">
      <c r="B194" s="142"/>
      <c r="C194" s="142"/>
      <c r="D194" s="142"/>
      <c r="E194" s="142"/>
      <c r="F194" s="24"/>
      <c r="G194" s="142"/>
      <c r="H194" s="142"/>
    </row>
    <row r="195" spans="2:8" ht="12">
      <c r="B195" s="142"/>
      <c r="C195" s="142"/>
      <c r="D195" s="142"/>
      <c r="E195" s="142"/>
      <c r="F195" s="24"/>
      <c r="G195" s="142"/>
      <c r="H195" s="142"/>
    </row>
    <row r="196" spans="2:8" ht="12">
      <c r="B196" s="142"/>
      <c r="C196" s="142"/>
      <c r="D196" s="142"/>
      <c r="E196" s="142"/>
      <c r="F196" s="24"/>
      <c r="G196" s="142"/>
      <c r="H196" s="142"/>
    </row>
    <row r="197" spans="2:8" ht="12">
      <c r="B197" s="142"/>
      <c r="C197" s="142"/>
      <c r="D197" s="142"/>
      <c r="E197" s="142"/>
      <c r="F197" s="24"/>
      <c r="G197" s="142"/>
      <c r="H197" s="142"/>
    </row>
    <row r="198" spans="2:8" ht="12">
      <c r="B198" s="142"/>
      <c r="C198" s="142"/>
      <c r="D198" s="142"/>
      <c r="E198" s="142"/>
      <c r="F198" s="24"/>
      <c r="G198" s="142"/>
      <c r="H198" s="142"/>
    </row>
    <row r="199" spans="2:8" ht="12">
      <c r="B199" s="142"/>
      <c r="C199" s="142"/>
      <c r="D199" s="142"/>
      <c r="E199" s="142"/>
      <c r="F199" s="24"/>
      <c r="G199" s="142"/>
      <c r="H199" s="142"/>
    </row>
    <row r="200" spans="2:8" ht="12">
      <c r="B200" s="142"/>
      <c r="C200" s="142"/>
      <c r="D200" s="142"/>
      <c r="E200" s="142"/>
      <c r="F200" s="24"/>
      <c r="G200" s="142"/>
      <c r="H200" s="142"/>
    </row>
    <row r="201" spans="2:8" ht="12">
      <c r="B201" s="142"/>
      <c r="C201" s="142"/>
      <c r="D201" s="142"/>
      <c r="E201" s="142"/>
      <c r="F201" s="24"/>
      <c r="G201" s="142"/>
      <c r="H201" s="142"/>
    </row>
    <row r="202" spans="2:8" ht="12">
      <c r="B202" s="142"/>
      <c r="C202" s="142"/>
      <c r="D202" s="142"/>
      <c r="E202" s="142"/>
      <c r="F202" s="24"/>
      <c r="G202" s="142"/>
      <c r="H202" s="142"/>
    </row>
    <row r="203" spans="2:8" ht="12">
      <c r="B203" s="142"/>
      <c r="C203" s="142"/>
      <c r="D203" s="142"/>
      <c r="E203" s="142"/>
      <c r="F203" s="24"/>
      <c r="G203" s="142"/>
      <c r="H203" s="142"/>
    </row>
    <row r="204" spans="2:8" ht="12">
      <c r="B204" s="142"/>
      <c r="C204" s="142"/>
      <c r="D204" s="142"/>
      <c r="E204" s="142"/>
      <c r="F204" s="24"/>
      <c r="G204" s="142"/>
      <c r="H204" s="142"/>
    </row>
    <row r="205" spans="2:8" ht="12">
      <c r="B205" s="142"/>
      <c r="C205" s="142"/>
      <c r="D205" s="142"/>
      <c r="E205" s="142"/>
      <c r="F205" s="24"/>
      <c r="G205" s="142"/>
      <c r="H205" s="142"/>
    </row>
    <row r="206" spans="2:8" ht="12">
      <c r="B206" s="142"/>
      <c r="C206" s="142"/>
      <c r="D206" s="142"/>
      <c r="E206" s="142"/>
      <c r="F206" s="24"/>
      <c r="G206" s="142"/>
      <c r="H206" s="142"/>
    </row>
    <row r="207" spans="2:8" ht="12">
      <c r="B207" s="142"/>
      <c r="C207" s="142"/>
      <c r="D207" s="142"/>
      <c r="E207" s="142"/>
      <c r="F207" s="24"/>
      <c r="G207" s="142"/>
      <c r="H207" s="142"/>
    </row>
    <row r="208" spans="2:8" ht="12">
      <c r="B208" s="142"/>
      <c r="C208" s="142"/>
      <c r="D208" s="142"/>
      <c r="E208" s="142"/>
      <c r="F208" s="24"/>
      <c r="G208" s="142"/>
      <c r="H208" s="142"/>
    </row>
    <row r="209" spans="2:8" ht="12">
      <c r="B209" s="142"/>
      <c r="C209" s="142"/>
      <c r="D209" s="142"/>
      <c r="E209" s="142"/>
      <c r="F209" s="24"/>
      <c r="G209" s="142"/>
      <c r="H209" s="142"/>
    </row>
    <row r="210" spans="2:8" ht="12">
      <c r="B210" s="142"/>
      <c r="C210" s="142"/>
      <c r="D210" s="142"/>
      <c r="E210" s="142"/>
      <c r="F210" s="24"/>
      <c r="G210" s="142"/>
      <c r="H210" s="142"/>
    </row>
    <row r="211" spans="2:8" ht="12">
      <c r="B211" s="142"/>
      <c r="C211" s="142"/>
      <c r="D211" s="142"/>
      <c r="E211" s="142"/>
      <c r="F211" s="24"/>
      <c r="G211" s="142"/>
      <c r="H211" s="142"/>
    </row>
    <row r="212" spans="2:8" ht="12">
      <c r="B212" s="142"/>
      <c r="C212" s="142"/>
      <c r="D212" s="142"/>
      <c r="E212" s="142"/>
      <c r="F212" s="24"/>
      <c r="G212" s="142"/>
      <c r="H212" s="142"/>
    </row>
    <row r="213" spans="2:8" ht="12">
      <c r="B213" s="142"/>
      <c r="C213" s="142"/>
      <c r="D213" s="142"/>
      <c r="E213" s="142"/>
      <c r="F213" s="24"/>
      <c r="G213" s="142"/>
      <c r="H213" s="142"/>
    </row>
    <row r="214" spans="2:8" ht="12">
      <c r="B214" s="142"/>
      <c r="C214" s="142"/>
      <c r="D214" s="142"/>
      <c r="E214" s="142"/>
      <c r="F214" s="24"/>
      <c r="G214" s="142"/>
      <c r="H214" s="142"/>
    </row>
    <row r="215" spans="2:8" ht="12">
      <c r="B215" s="142"/>
      <c r="C215" s="142"/>
      <c r="D215" s="142"/>
      <c r="E215" s="142"/>
      <c r="F215" s="24"/>
      <c r="G215" s="142"/>
      <c r="H215" s="142"/>
    </row>
    <row r="216" spans="2:8" ht="12">
      <c r="B216" s="142"/>
      <c r="C216" s="142"/>
      <c r="D216" s="142"/>
      <c r="E216" s="142"/>
      <c r="F216" s="24"/>
      <c r="G216" s="142"/>
      <c r="H216" s="142"/>
    </row>
    <row r="217" spans="2:8" ht="12">
      <c r="B217" s="142"/>
      <c r="C217" s="142"/>
      <c r="D217" s="142"/>
      <c r="E217" s="142"/>
      <c r="F217" s="24"/>
      <c r="G217" s="142"/>
      <c r="H217" s="142"/>
    </row>
    <row r="218" spans="2:8" ht="12">
      <c r="B218" s="142"/>
      <c r="C218" s="142"/>
      <c r="D218" s="142"/>
      <c r="E218" s="142"/>
      <c r="F218" s="24"/>
      <c r="G218" s="142"/>
      <c r="H218" s="142"/>
    </row>
    <row r="219" spans="2:8" ht="12">
      <c r="B219" s="142"/>
      <c r="C219" s="142"/>
      <c r="D219" s="142"/>
      <c r="E219" s="142"/>
      <c r="F219" s="24"/>
      <c r="G219" s="142"/>
      <c r="H219" s="142"/>
    </row>
    <row r="220" spans="2:8" ht="12">
      <c r="B220" s="142"/>
      <c r="C220" s="142"/>
      <c r="D220" s="142"/>
      <c r="E220" s="142"/>
      <c r="F220" s="24"/>
      <c r="G220" s="142"/>
      <c r="H220" s="142"/>
    </row>
    <row r="221" spans="2:8" ht="12">
      <c r="B221" s="142"/>
      <c r="C221" s="142"/>
      <c r="D221" s="142"/>
      <c r="E221" s="142"/>
      <c r="F221" s="24"/>
      <c r="G221" s="142"/>
      <c r="H221" s="142"/>
    </row>
    <row r="222" spans="2:8" ht="12">
      <c r="B222" s="142"/>
      <c r="C222" s="142"/>
      <c r="D222" s="142"/>
      <c r="E222" s="142"/>
      <c r="F222" s="24"/>
      <c r="G222" s="142"/>
      <c r="H222" s="142"/>
    </row>
    <row r="223" spans="2:8" ht="12">
      <c r="B223" s="142"/>
      <c r="C223" s="142"/>
      <c r="D223" s="142"/>
      <c r="E223" s="142"/>
      <c r="F223" s="24"/>
      <c r="G223" s="142"/>
      <c r="H223" s="142"/>
    </row>
    <row r="224" spans="2:8" ht="12">
      <c r="B224" s="142"/>
      <c r="C224" s="142"/>
      <c r="D224" s="142"/>
      <c r="E224" s="142"/>
      <c r="F224" s="24"/>
      <c r="G224" s="142"/>
      <c r="H224" s="142"/>
    </row>
    <row r="225" spans="2:8" ht="12">
      <c r="B225" s="142"/>
      <c r="C225" s="142"/>
      <c r="D225" s="142"/>
      <c r="E225" s="142"/>
      <c r="F225" s="24"/>
      <c r="G225" s="142"/>
      <c r="H225" s="142"/>
    </row>
    <row r="226" spans="2:8" ht="12">
      <c r="B226" s="142"/>
      <c r="C226" s="142"/>
      <c r="D226" s="142"/>
      <c r="E226" s="142"/>
      <c r="F226" s="24"/>
      <c r="G226" s="142"/>
      <c r="H226" s="142"/>
    </row>
    <row r="227" spans="2:8" ht="12">
      <c r="B227" s="142"/>
      <c r="C227" s="142"/>
      <c r="D227" s="142"/>
      <c r="E227" s="142"/>
      <c r="F227" s="24"/>
      <c r="G227" s="142"/>
      <c r="H227" s="142"/>
    </row>
    <row r="228" spans="2:8" ht="12">
      <c r="B228" s="142"/>
      <c r="C228" s="142"/>
      <c r="D228" s="142"/>
      <c r="E228" s="142"/>
      <c r="F228" s="24"/>
      <c r="G228" s="142"/>
      <c r="H228" s="142"/>
    </row>
    <row r="229" spans="2:8" ht="12">
      <c r="B229" s="142"/>
      <c r="C229" s="142"/>
      <c r="D229" s="142"/>
      <c r="E229" s="142"/>
      <c r="F229" s="24"/>
      <c r="G229" s="142"/>
      <c r="H229" s="142"/>
    </row>
    <row r="230" spans="2:8" ht="12">
      <c r="B230" s="142"/>
      <c r="C230" s="142"/>
      <c r="D230" s="142"/>
      <c r="E230" s="142"/>
      <c r="F230" s="24"/>
      <c r="G230" s="142"/>
      <c r="H230" s="142"/>
    </row>
    <row r="231" spans="2:8" ht="12">
      <c r="B231" s="142"/>
      <c r="C231" s="142"/>
      <c r="D231" s="142"/>
      <c r="E231" s="142"/>
      <c r="F231" s="24"/>
      <c r="G231" s="142"/>
      <c r="H231" s="142"/>
    </row>
    <row r="232" spans="2:8" ht="12">
      <c r="B232" s="142"/>
      <c r="C232" s="142"/>
      <c r="D232" s="142"/>
      <c r="E232" s="142"/>
      <c r="F232" s="24"/>
      <c r="G232" s="142"/>
      <c r="H232" s="142"/>
    </row>
    <row r="233" spans="2:8" ht="12">
      <c r="B233" s="142"/>
      <c r="C233" s="142"/>
      <c r="D233" s="142"/>
      <c r="E233" s="142"/>
      <c r="F233" s="24"/>
      <c r="G233" s="142"/>
      <c r="H233" s="142"/>
    </row>
    <row r="234" spans="2:8" ht="12">
      <c r="B234" s="142"/>
      <c r="C234" s="142"/>
      <c r="D234" s="142"/>
      <c r="E234" s="142"/>
      <c r="F234" s="24"/>
      <c r="G234" s="142"/>
      <c r="H234" s="142"/>
    </row>
    <row r="235" spans="2:8" ht="12">
      <c r="B235" s="142"/>
      <c r="C235" s="142"/>
      <c r="D235" s="142"/>
      <c r="E235" s="142"/>
      <c r="F235" s="24"/>
      <c r="G235" s="142"/>
      <c r="H235" s="142"/>
    </row>
    <row r="236" spans="2:8" ht="12">
      <c r="B236" s="142"/>
      <c r="C236" s="142"/>
      <c r="D236" s="142"/>
      <c r="E236" s="142"/>
      <c r="F236" s="24"/>
      <c r="G236" s="142"/>
      <c r="H236" s="142"/>
    </row>
    <row r="237" spans="2:8" ht="12">
      <c r="B237" s="142"/>
      <c r="C237" s="142"/>
      <c r="D237" s="142"/>
      <c r="E237" s="142"/>
      <c r="F237" s="24"/>
      <c r="G237" s="142"/>
      <c r="H237" s="142"/>
    </row>
    <row r="238" spans="2:8" ht="12">
      <c r="B238" s="142"/>
      <c r="C238" s="142"/>
      <c r="D238" s="142"/>
      <c r="E238" s="142"/>
      <c r="F238" s="24"/>
      <c r="G238" s="142"/>
      <c r="H238" s="142"/>
    </row>
    <row r="239" spans="2:8" ht="12">
      <c r="B239" s="142"/>
      <c r="C239" s="142"/>
      <c r="D239" s="142"/>
      <c r="E239" s="142"/>
      <c r="F239" s="24"/>
      <c r="G239" s="142"/>
      <c r="H239" s="142"/>
    </row>
    <row r="240" spans="2:8" ht="12">
      <c r="B240" s="142"/>
      <c r="C240" s="142"/>
      <c r="D240" s="142"/>
      <c r="E240" s="142"/>
      <c r="F240" s="24"/>
      <c r="G240" s="142"/>
      <c r="H240" s="142"/>
    </row>
    <row r="241" spans="2:8" ht="12">
      <c r="B241" s="142"/>
      <c r="C241" s="142"/>
      <c r="D241" s="142"/>
      <c r="E241" s="142"/>
      <c r="F241" s="24"/>
      <c r="G241" s="142"/>
      <c r="H241" s="142"/>
    </row>
    <row r="242" spans="2:8" ht="12">
      <c r="B242" s="142"/>
      <c r="C242" s="142"/>
      <c r="D242" s="142"/>
      <c r="E242" s="142"/>
      <c r="F242" s="24"/>
      <c r="G242" s="142"/>
      <c r="H242" s="142"/>
    </row>
    <row r="243" spans="2:8" ht="12">
      <c r="B243" s="142"/>
      <c r="C243" s="142"/>
      <c r="D243" s="142"/>
      <c r="E243" s="142"/>
      <c r="F243" s="24"/>
      <c r="G243" s="142"/>
      <c r="H243" s="142"/>
    </row>
    <row r="244" spans="2:8" ht="12">
      <c r="B244" s="142"/>
      <c r="C244" s="142"/>
      <c r="D244" s="142"/>
      <c r="E244" s="142"/>
      <c r="F244" s="24"/>
      <c r="G244" s="142"/>
      <c r="H244" s="142"/>
    </row>
    <row r="245" spans="2:8" ht="12">
      <c r="B245" s="142"/>
      <c r="C245" s="142"/>
      <c r="D245" s="142"/>
      <c r="E245" s="142"/>
      <c r="F245" s="24"/>
      <c r="G245" s="142"/>
      <c r="H245" s="142"/>
    </row>
    <row r="246" spans="2:8" ht="12">
      <c r="B246" s="142"/>
      <c r="C246" s="142"/>
      <c r="D246" s="142"/>
      <c r="E246" s="142"/>
      <c r="F246" s="24"/>
      <c r="G246" s="142"/>
      <c r="H246" s="142"/>
    </row>
    <row r="247" spans="2:8" ht="12">
      <c r="B247" s="142"/>
      <c r="C247" s="142"/>
      <c r="D247" s="142"/>
      <c r="E247" s="142"/>
      <c r="F247" s="24"/>
      <c r="G247" s="142"/>
      <c r="H247" s="142"/>
    </row>
    <row r="248" spans="2:8" ht="12">
      <c r="B248" s="142"/>
      <c r="C248" s="142"/>
      <c r="D248" s="142"/>
      <c r="E248" s="142"/>
      <c r="F248" s="24"/>
      <c r="G248" s="142"/>
      <c r="H248" s="142"/>
    </row>
    <row r="249" spans="2:8" ht="12">
      <c r="B249" s="142"/>
      <c r="C249" s="142"/>
      <c r="D249" s="142"/>
      <c r="E249" s="142"/>
      <c r="F249" s="24"/>
      <c r="G249" s="142"/>
      <c r="H249" s="142"/>
    </row>
    <row r="250" spans="2:8" ht="12">
      <c r="B250" s="142"/>
      <c r="C250" s="142"/>
      <c r="D250" s="142"/>
      <c r="E250" s="142"/>
      <c r="F250" s="24"/>
      <c r="G250" s="142"/>
      <c r="H250" s="142"/>
    </row>
    <row r="251" spans="2:8" ht="12">
      <c r="B251" s="142"/>
      <c r="C251" s="142"/>
      <c r="D251" s="142"/>
      <c r="E251" s="142"/>
      <c r="F251" s="24"/>
      <c r="G251" s="142"/>
      <c r="H251" s="142"/>
    </row>
    <row r="252" spans="2:8" ht="12">
      <c r="B252" s="142"/>
      <c r="C252" s="142"/>
      <c r="D252" s="142"/>
      <c r="E252" s="142"/>
      <c r="F252" s="24"/>
      <c r="G252" s="142"/>
      <c r="H252" s="142"/>
    </row>
    <row r="253" spans="2:8" ht="12">
      <c r="B253" s="142"/>
      <c r="C253" s="142"/>
      <c r="D253" s="142"/>
      <c r="E253" s="142"/>
      <c r="F253" s="24"/>
      <c r="G253" s="142"/>
      <c r="H253" s="142"/>
    </row>
    <row r="254" spans="2:8" ht="12">
      <c r="B254" s="142"/>
      <c r="C254" s="142"/>
      <c r="D254" s="142"/>
      <c r="E254" s="142"/>
      <c r="F254" s="24"/>
      <c r="G254" s="142"/>
      <c r="H254" s="142"/>
    </row>
    <row r="255" spans="2:8" ht="12">
      <c r="B255" s="142"/>
      <c r="C255" s="142"/>
      <c r="D255" s="142"/>
      <c r="E255" s="142"/>
      <c r="F255" s="24"/>
      <c r="G255" s="142"/>
      <c r="H255" s="142"/>
    </row>
    <row r="256" spans="2:8" ht="12">
      <c r="B256" s="142"/>
      <c r="C256" s="142"/>
      <c r="D256" s="142"/>
      <c r="E256" s="142"/>
      <c r="F256" s="24"/>
      <c r="G256" s="142"/>
      <c r="H256" s="142"/>
    </row>
    <row r="257" spans="2:8" ht="12">
      <c r="B257" s="142"/>
      <c r="C257" s="142"/>
      <c r="D257" s="142"/>
      <c r="E257" s="142"/>
      <c r="F257" s="24"/>
      <c r="G257" s="142"/>
      <c r="H257" s="142"/>
    </row>
    <row r="258" spans="2:8" ht="12">
      <c r="B258" s="142"/>
      <c r="C258" s="142"/>
      <c r="D258" s="142"/>
      <c r="E258" s="142"/>
      <c r="F258" s="24"/>
      <c r="G258" s="142"/>
      <c r="H258" s="142"/>
    </row>
    <row r="259" spans="2:8" ht="12">
      <c r="B259" s="142"/>
      <c r="C259" s="142"/>
      <c r="D259" s="142"/>
      <c r="E259" s="142"/>
      <c r="F259" s="24"/>
      <c r="G259" s="142"/>
      <c r="H259" s="142"/>
    </row>
    <row r="260" spans="2:8" ht="12">
      <c r="B260" s="142"/>
      <c r="C260" s="142"/>
      <c r="D260" s="142"/>
      <c r="E260" s="142"/>
      <c r="F260" s="24"/>
      <c r="G260" s="142"/>
      <c r="H260" s="142"/>
    </row>
    <row r="261" spans="2:8" ht="12">
      <c r="B261" s="142"/>
      <c r="C261" s="142"/>
      <c r="D261" s="142"/>
      <c r="E261" s="142"/>
      <c r="F261" s="24"/>
      <c r="G261" s="142"/>
      <c r="H261" s="142"/>
    </row>
    <row r="262" spans="2:8" ht="12">
      <c r="B262" s="142"/>
      <c r="C262" s="142"/>
      <c r="D262" s="142"/>
      <c r="E262" s="142"/>
      <c r="F262" s="24"/>
      <c r="G262" s="142"/>
      <c r="H262" s="142"/>
    </row>
    <row r="263" spans="2:8" ht="12">
      <c r="B263" s="142"/>
      <c r="C263" s="142"/>
      <c r="D263" s="142"/>
      <c r="E263" s="142"/>
      <c r="F263" s="24"/>
      <c r="G263" s="142"/>
      <c r="H263" s="142"/>
    </row>
    <row r="264" spans="2:8" ht="12">
      <c r="B264" s="142"/>
      <c r="C264" s="142"/>
      <c r="D264" s="142"/>
      <c r="E264" s="142"/>
      <c r="F264" s="24"/>
      <c r="G264" s="142"/>
      <c r="H264" s="142"/>
    </row>
    <row r="265" spans="2:8" ht="12">
      <c r="B265" s="142"/>
      <c r="C265" s="142"/>
      <c r="D265" s="142"/>
      <c r="E265" s="142"/>
      <c r="F265" s="24"/>
      <c r="G265" s="142"/>
      <c r="H265" s="142"/>
    </row>
    <row r="266" spans="2:8" ht="12">
      <c r="B266" s="142"/>
      <c r="C266" s="142"/>
      <c r="D266" s="142"/>
      <c r="E266" s="142"/>
      <c r="F266" s="24"/>
      <c r="G266" s="142"/>
      <c r="H266" s="142"/>
    </row>
    <row r="267" spans="2:8" ht="12">
      <c r="B267" s="142"/>
      <c r="C267" s="142"/>
      <c r="D267" s="142"/>
      <c r="E267" s="142"/>
      <c r="F267" s="24"/>
      <c r="G267" s="142"/>
      <c r="H267" s="142"/>
    </row>
    <row r="268" spans="2:8" ht="12">
      <c r="B268" s="142"/>
      <c r="C268" s="142"/>
      <c r="D268" s="142"/>
      <c r="E268" s="142"/>
      <c r="F268" s="24"/>
      <c r="G268" s="142"/>
      <c r="H268" s="142"/>
    </row>
    <row r="269" spans="2:8" ht="12">
      <c r="B269" s="142"/>
      <c r="C269" s="142"/>
      <c r="D269" s="142"/>
      <c r="E269" s="142"/>
      <c r="F269" s="24"/>
      <c r="G269" s="142"/>
      <c r="H269" s="142"/>
    </row>
    <row r="270" spans="2:8" ht="12">
      <c r="B270" s="142"/>
      <c r="C270" s="142"/>
      <c r="D270" s="142"/>
      <c r="E270" s="142"/>
      <c r="F270" s="24"/>
      <c r="G270" s="142"/>
      <c r="H270" s="142"/>
    </row>
    <row r="271" spans="2:8" ht="12">
      <c r="B271" s="142"/>
      <c r="C271" s="142"/>
      <c r="D271" s="142"/>
      <c r="E271" s="142"/>
      <c r="F271" s="24"/>
      <c r="G271" s="142"/>
      <c r="H271" s="142"/>
    </row>
    <row r="272" spans="2:8" ht="12">
      <c r="B272" s="142"/>
      <c r="C272" s="142"/>
      <c r="D272" s="142"/>
      <c r="E272" s="142"/>
      <c r="F272" s="24"/>
      <c r="G272" s="142"/>
      <c r="H272" s="142"/>
    </row>
    <row r="273" spans="2:8" ht="12">
      <c r="B273" s="142"/>
      <c r="C273" s="142"/>
      <c r="D273" s="142"/>
      <c r="E273" s="142"/>
      <c r="F273" s="24"/>
      <c r="G273" s="142"/>
      <c r="H273" s="142"/>
    </row>
    <row r="274" spans="2:8" ht="12">
      <c r="B274" s="142"/>
      <c r="C274" s="142"/>
      <c r="D274" s="142"/>
      <c r="E274" s="142"/>
      <c r="F274" s="24"/>
      <c r="G274" s="142"/>
      <c r="H274" s="142"/>
    </row>
    <row r="275" spans="2:8" ht="12">
      <c r="B275" s="142"/>
      <c r="C275" s="142"/>
      <c r="D275" s="142"/>
      <c r="E275" s="142"/>
      <c r="F275" s="24"/>
      <c r="G275" s="142"/>
      <c r="H275" s="142"/>
    </row>
    <row r="276" spans="2:8" ht="12">
      <c r="B276" s="142"/>
      <c r="C276" s="142"/>
      <c r="D276" s="142"/>
      <c r="E276" s="142"/>
      <c r="F276" s="24"/>
      <c r="G276" s="142"/>
      <c r="H276" s="142"/>
    </row>
    <row r="277" spans="2:8" ht="12">
      <c r="B277" s="142"/>
      <c r="C277" s="142"/>
      <c r="D277" s="142"/>
      <c r="E277" s="142"/>
      <c r="F277" s="24"/>
      <c r="G277" s="142"/>
      <c r="H277" s="142"/>
    </row>
    <row r="278" spans="2:8" ht="12">
      <c r="B278" s="142"/>
      <c r="C278" s="142"/>
      <c r="D278" s="142"/>
      <c r="E278" s="142"/>
      <c r="F278" s="24"/>
      <c r="G278" s="142"/>
      <c r="H278" s="142"/>
    </row>
    <row r="279" spans="2:8" ht="12">
      <c r="B279" s="142"/>
      <c r="C279" s="142"/>
      <c r="D279" s="142"/>
      <c r="E279" s="142"/>
      <c r="F279" s="24"/>
      <c r="G279" s="142"/>
      <c r="H279" s="142"/>
    </row>
    <row r="280" spans="2:8" ht="12">
      <c r="B280" s="142"/>
      <c r="C280" s="142"/>
      <c r="D280" s="142"/>
      <c r="E280" s="142"/>
      <c r="F280" s="24"/>
      <c r="G280" s="142"/>
      <c r="H280" s="142"/>
    </row>
    <row r="281" spans="2:8" ht="12">
      <c r="B281" s="142"/>
      <c r="C281" s="142"/>
      <c r="D281" s="142"/>
      <c r="E281" s="142"/>
      <c r="F281" s="24"/>
      <c r="G281" s="142"/>
      <c r="H281" s="142"/>
    </row>
    <row r="282" spans="2:8" ht="12">
      <c r="B282" s="142"/>
      <c r="C282" s="142"/>
      <c r="D282" s="142"/>
      <c r="E282" s="142"/>
      <c r="F282" s="24"/>
      <c r="G282" s="142"/>
      <c r="H282" s="142"/>
    </row>
    <row r="283" spans="2:8" ht="12">
      <c r="B283" s="142"/>
      <c r="C283" s="142"/>
      <c r="D283" s="142"/>
      <c r="E283" s="142"/>
      <c r="F283" s="24"/>
      <c r="G283" s="142"/>
      <c r="H283" s="142"/>
    </row>
    <row r="284" spans="2:8" ht="12">
      <c r="B284" s="142"/>
      <c r="C284" s="142"/>
      <c r="D284" s="142"/>
      <c r="E284" s="142"/>
      <c r="F284" s="24"/>
      <c r="G284" s="142"/>
      <c r="H284" s="142"/>
    </row>
    <row r="285" spans="2:8" ht="12">
      <c r="B285" s="142"/>
      <c r="C285" s="142"/>
      <c r="D285" s="142"/>
      <c r="E285" s="142"/>
      <c r="F285" s="24"/>
      <c r="G285" s="142"/>
      <c r="H285" s="142"/>
    </row>
  </sheetData>
  <sheetProtection/>
  <printOptions horizontalCentered="1" verticalCentered="1"/>
  <pageMargins left="0.6299212598425197" right="0.5905511811023623" top="0.6299212598425197" bottom="0.7086614173228347" header="0.5118110236220472" footer="0.5118110236220472"/>
  <pageSetup fitToHeight="0" horizontalDpi="600" verticalDpi="600" orientation="landscape" paperSize="9" scale="95" r:id="rId3"/>
  <headerFooter alignWithMargins="0">
    <oddHeader>&amp;RSeite C &amp;P</oddHeader>
  </headerFooter>
  <rowBreaks count="3" manualBreakCount="3">
    <brk id="38" max="255" man="1"/>
    <brk id="78" max="255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Tourismus Salzburg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eichub</dc:creator>
  <cp:keywords/>
  <dc:description/>
  <cp:lastModifiedBy>Freudenthaler Bernhard</cp:lastModifiedBy>
  <cp:lastPrinted>2019-01-07T13:10:48Z</cp:lastPrinted>
  <dcterms:created xsi:type="dcterms:W3CDTF">2002-02-11T15:25:06Z</dcterms:created>
  <dcterms:modified xsi:type="dcterms:W3CDTF">2019-01-07T13:11:29Z</dcterms:modified>
  <cp:category/>
  <cp:version/>
  <cp:contentType/>
  <cp:contentStatus/>
</cp:coreProperties>
</file>